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codeName="{3D1A710C-6663-3D7B-7F91-EC182F24A4BC}"/>
  <workbookPr codeName="ThisWorkbook" defaultThemeVersion="124226"/>
  <mc:AlternateContent xmlns:mc="http://schemas.openxmlformats.org/markup-compatibility/2006">
    <mc:Choice Requires="x15">
      <x15ac:absPath xmlns:x15ac="http://schemas.microsoft.com/office/spreadsheetml/2010/11/ac" url="C:\Users\akuhn\AppData\Roaming\Synergis\Adept\My Adept WorkArea\akuhn\"/>
    </mc:Choice>
  </mc:AlternateContent>
  <xr:revisionPtr revIDLastSave="0" documentId="13_ncr:1_{D42DB560-4C4C-4589-ACBC-9BB5B789003F}" xr6:coauthVersionLast="36" xr6:coauthVersionMax="36" xr10:uidLastSave="{00000000-0000-0000-0000-000000000000}"/>
  <bookViews>
    <workbookView xWindow="6140" yWindow="-20" windowWidth="6170" windowHeight="6270" tabRatio="929" xr2:uid="{00000000-000D-0000-FFFF-FFFF00000000}"/>
  </bookViews>
  <sheets>
    <sheet name="Cover" sheetId="31" r:id="rId1"/>
    <sheet name="Revisions" sheetId="28" r:id="rId2"/>
    <sheet name="Summary" sheetId="24" r:id="rId3"/>
    <sheet name="Bands 1-2" sheetId="15" r:id="rId4"/>
    <sheet name="Bands 3-4" sheetId="22" r:id="rId5"/>
    <sheet name="Bands 5-6" sheetId="23" r:id="rId6"/>
    <sheet name="Tatm" sheetId="26" r:id="rId7"/>
    <sheet name="Antenna" sheetId="29" r:id="rId8"/>
    <sheet name="LNAs" sheetId="17" r:id="rId9"/>
    <sheet name="Couplers" sheetId="30" r:id="rId10"/>
    <sheet name="Passives" sheetId="16" r:id="rId11"/>
    <sheet name="WG and OMT" sheetId="25" r:id="rId12"/>
    <sheet name="Constants" sheetId="19" state="hidden" r:id="rId13"/>
  </sheets>
  <definedNames>
    <definedName name="Antenna_Band1" comment="ngVLA antenna parameter table, Band 1.">Antenna!$A$5:$T$14</definedName>
    <definedName name="Antenna_Band2" comment="ngVLA antenna parameter table, Band 2.">Antenna!$A$15:$T$24</definedName>
    <definedName name="Antenna_Band3" comment="ngVLA antenna parameter table, Band 3.">Antenna!$A$25:$T$34</definedName>
    <definedName name="Antenna_Band4" comment="ngVLA antenna parameter table, Band 4.">Antenna!$A$35:$T$44</definedName>
    <definedName name="Antenna_Band5" comment="ngVLA antenna parameter table, Band 5.">Antenna!$A$45:$T$54</definedName>
    <definedName name="Antenna_Band6" comment="ngVLA antenna parameter table, Band 6.">Antenna!$A$55:$T$64</definedName>
    <definedName name="Ao_18m" comment="Physical collecting area in square meters of a single 18-meter antenna, , relative to the aperture plane.">PI()*((18/2)^2)</definedName>
    <definedName name="Ao_6m" comment="Physical collecting area in square meters of a single 6-meter diameter antenna, relative to the aperture plane.">PI()*((6/2)^2)</definedName>
    <definedName name="Ao_array" comment="Total physical collecting area of the array. This is defined as 244 x 18-meter and 19 x 6-meter diameter antennas.">244*Ao_18m + 19*Ao_6m</definedName>
    <definedName name="Array_Size" comment="User input field to select array size: either a single 18-meter antenna, or the full array (244 x 18m + 19 x 6m). The full array assumes uniform weighting for all antennas, and equivalent performance for Tsys/eta on both the 18m and 6m.">Summary!$T$6</definedName>
    <definedName name="Averaging">Summary!$T$7</definedName>
    <definedName name="Band1_Table">'Bands 1-2'!$A$3:$AV$17</definedName>
    <definedName name="Band2_Table">'Bands 1-2'!$A$19:$AV$33</definedName>
    <definedName name="Band3_Table">'Bands 3-4'!$A$3:$AV$18</definedName>
    <definedName name="Band4_Table">'Bands 3-4'!$A$20:$AV$35</definedName>
    <definedName name="Band5_Table">'Bands 5-6'!$A$3:$AV$18</definedName>
    <definedName name="Band6_Table">'Bands 5-6'!$A$20:$AV$37</definedName>
    <definedName name="Cal_Coupler" comment="Table of thru loss and coupling factor vs. frequency for directional couplers used to inject the cal signal.">Passives!$N$6:$P$21</definedName>
    <definedName name="Coax_086SS" comment="Gain data for .086 dia. stainless steel coax semirigid cable, vs. frequency.">Passives!$U$6:$V$27</definedName>
    <definedName name="Coax_141Cu" comment="Gain data for .141 dia. copper coax semirigid cable, vs. frequency.">Passives!$R$6:$S$14</definedName>
    <definedName name="Component_List" comment="List of selectable component names for the cascade sheets, that have associated data table definitions as defined names. These need to match, and normally are not changed.">Constants!$B$4:$B$37</definedName>
    <definedName name="Coupler_Band1" comment="Coupler insertion gain (S21) and coupling (S31) data vs frequency in GHz, Band 1.">Couplers!$B$6:$D$16</definedName>
    <definedName name="Coupler_Band2" comment="Coupler insertion gain (S21) and coupling (S31) data vs frequency in GHz, Band 2.">Couplers!$F$6:$H$16</definedName>
    <definedName name="Coupler_Band3" comment="Coupler insertion gain (S21) and coupling (S31) data vs frequency in GHz, Band 3.">Couplers!$J$6:$L$16</definedName>
    <definedName name="Coupler_Band4" comment="Coupler insertion gain (S21) and coupling (S31) data vs frequency in GHz, Band 4.">Couplers!$N$6:$P$16</definedName>
    <definedName name="Coupler_Band5" comment="Coupler insertion gain (S21) and coupling (S31) data vs frequency in GHz, Band 5.">Couplers!$R$6:$T$16</definedName>
    <definedName name="Coupler_Band6" comment="Coupler insertion gain (S21) and coupling (S31) data vs frequency in GHz, Band 6.">Couplers!$V$6:$X$16</definedName>
    <definedName name="Delta_F" comment="Frequency shift in GHz on Band 1-2 and Band 2-3 boundaries. This is incorporated in passive component data tables and cascade band edges, to insure proper lookup for band-specific data. A crude workaround, but good for now.">0.01</definedName>
    <definedName name="Derate_factor_efficiency" comment="Derating factor for minimum aperture efficiency in a band, from the average approx. centered over 80% of bandwidth. This is preliminary, subject to revision.">0.7</definedName>
    <definedName name="Derate_factor_sensitivity" comment="Derating factor for Aeff/Tsys in a band, from the average approx. centered over 80% of bandwidth. This is preliminary, subject to revision.">0.7</definedName>
    <definedName name="Derate_factor_Trx" comment="Derating factor for maximum Trx in a band, from the average approx. centered over 80% of bandwidth. This is preliminary, subject to revision.">1.3</definedName>
    <definedName name="Elev_Angle" comment="Antenna elevation angle selector.">Summary!$T$3</definedName>
    <definedName name="Feed_Horn">Passives!$K$6:$L$23</definedName>
    <definedName name="fHI_Band1" comment="Band 1 upper band edge frequency, GHz.">3.5</definedName>
    <definedName name="fHI_Band2" comment="Band 2 upper band edge frequency, GHz.">12.3</definedName>
    <definedName name="fHI_Band3" comment="Band 3 upper band edge frequency, GHz.">20.5</definedName>
    <definedName name="fHI_Band4" comment="Band 4 upper band edge frequency, GHz.">34</definedName>
    <definedName name="fHI_Band5" comment="Band 5 upper band edge frequency, GHz.">50.5</definedName>
    <definedName name="fHI_Band6" comment="Band 6 upper band edge frequency, GHz.">116</definedName>
    <definedName name="fLO_Band1" comment="Band 1 lower band edge frequency, GHz.">1.2</definedName>
    <definedName name="fLO_Band2" comment="Band 2 lower band edge frequency, GHz.">3.4</definedName>
    <definedName name="fLO_Band3" comment="Band 3 lower band edge frequency, GHz.">12.3</definedName>
    <definedName name="fLO_Band4" comment="Band 4 lower band edge frequency, GHz.">20.5</definedName>
    <definedName name="fLO_Band5" comment="Band 5 lower band edge frequency, GHz.">30.5</definedName>
    <definedName name="fLO_Band6" comment="Band 6 lower band edge frequency, GHz.">70</definedName>
    <definedName name="h" comment="Planck's constant">6.62607E-34</definedName>
    <definedName name="IR_Filter">Passives!$H$6:$I$20</definedName>
    <definedName name="IRD">Summary!$U$7</definedName>
    <definedName name="k" comment="Boltzmann's constant, in units of J/K.">1.38E-23</definedName>
    <definedName name="k_astr" comment="Boltzmann's constant, in units of Jy * m^2/K.">1380</definedName>
    <definedName name="LNA_20K_Derate_Factor" comment="The approximate noise derating factor for LNAs operating at 20K, if the original device data was taken at 4-12K. Derived from McCullock et al (2017), assuming a Low Noise Factory device at Ka-band.">1.13</definedName>
    <definedName name="LNA_Band1" comment="LNA gain and noise data for Band 1.">LNAs!$B$6:$D$21</definedName>
    <definedName name="LNA_Band2" comment="LNA gain and noise data for Band 2.">LNAs!$F$6:$H$21</definedName>
    <definedName name="LNA_Band3" comment="LNA gain and noise data for Band 3.">LNAs!$J$6:$L$21</definedName>
    <definedName name="LNA_Band4" comment="LNA gain and noise data for Band 4.">LNAs!$N$6:$P$21</definedName>
    <definedName name="LNA_Band5" comment="LNA gain and noise data for Band 5.">LNAs!$R$6:$T$21</definedName>
    <definedName name="LNA_Band6" comment="LNA gain and noise data for Band 6.">LNAs!$V$6:$X$22</definedName>
    <definedName name="ngVLA7_Eff_SF" comment="Scale factor to apply to aperture efficiencies originally computed in GRASP with ngVLA-6 optics, for the new ngVLA-7 optics design.">1.069</definedName>
    <definedName name="Noise_Floor_mult" comment="Factor of (hf/k) to fit noise floor on Trx plot.">Summary!$AB$7</definedName>
    <definedName name="OMT_Band3" comment="Band 3 OMT loss vs frequency.">'WG and OMT'!$B$7:$D$22</definedName>
    <definedName name="OMT_Band4" comment="Band 4 OMT loss vs frequency.">'WG and OMT'!$F$7:$H$22</definedName>
    <definedName name="OMT_Band5" comment="Band 5 OMT loss vs frequency.">'WG and OMT'!$J$7:$L$22</definedName>
    <definedName name="OMT_Band6" comment="Band 6 OMT loss vs frequency.">'WG and OMT'!$N$7:$P$23</definedName>
    <definedName name="P1dB_CW_vs_Noise" comment="Amplifier 1 dB compression point (P1dB) typically assumes a narrowband CW signal output. For a broadband noise output, the compression point is approximately 5 dB lower.">5</definedName>
    <definedName name="P1dB_OIP3_diff" comment="This is the theoretical difference between output 1 dB compression point (P1dB) and output third-order intercept point (OIP3). Note the OIP3 is higher by this amount.">9.6</definedName>
    <definedName name="P1dB_P1pct_diff" comment="P1dB is the 1 dB compression point. For radio astronomy, the upper limit for linearity is typically the 1% compression point, which is approximately 12 dB lower.">12</definedName>
    <definedName name="PWV" comment="PWV selector input.">Summary!$T$4</definedName>
    <definedName name="PWV_Band6">Summary!$T$5</definedName>
    <definedName name="PWV_Values" comment="Precipital Water Vapor (PWV) values for the VLA site (best case, nominal, and worst-case).">Tatm!$A$5:$D$5</definedName>
    <definedName name="Rev_date" comment="Revision date.">Revisions!$B$2</definedName>
    <definedName name="RxAnt_Data_Band1" comment="Data table containing ngVLA receiver, spillover, sky and system noise, and aperture efficiency, versus frequency.">Summary!$B$11:$L$21</definedName>
    <definedName name="RxAnt_Data_Band2" comment="Data table containing ngVLA receiver, spillover, sky and system noise, and aperture efficiency, versus frequency.">Summary!$B$22:$L$32</definedName>
    <definedName name="RxAnt_Data_Band3" comment="Data table containing ngVLA receiver, spillover, sky and system noise, and aperture efficiency, versus frequency.">Summary!$B$33:$L$43</definedName>
    <definedName name="RxAnt_Data_Band4" comment="Data table containing ngVLA receiver, spillover, sky and system noise, and aperture efficiency, versus frequency.">Summary!$N$11:$X$21</definedName>
    <definedName name="RxAnt_Data_Band5" comment="Data table containing ngVLA receiver, spillover, sky and system noise, and aperture efficiency, versus frequency.">Summary!$N$22:$X$32</definedName>
    <definedName name="RxAnt_Data_Band6" comment="Data table containing ngVLA receiver, spillover, sky and system noise, and aperture efficiency, versus frequency.">Summary!$N$33:$X$43</definedName>
    <definedName name="Sigma_ngVLA" comment="Precision surface roughness specification for ngVLA, in um, combining primary and secondary optics.">Summary!$T$2</definedName>
    <definedName name="Stage_Temp_Table" comment="Physical temperature selection table for Front End components.">Summary!$U$2:$U$6</definedName>
    <definedName name="T0">290</definedName>
    <definedName name="Tatm_Data_Table" comment="Data for atmospheric noise temperature, as a function of frequency, elevation angle, and PWV.">Tatm!$A$5:$P$1196</definedName>
    <definedName name="Tbg_Data_Table" comment="Background (CMB + galactic) noise vs frequency, corrected for atmospheric attenuation and Planck formula. Value is an average of all nominal elevation angle and PWV selections; accuracy is only affected by ~0.1K at most frequencies.">Tatm!$Z$6:$AA$1196</definedName>
    <definedName name="Temp_20K_Stage" comment="Cryocooler 2nd stage nominal temperature.">Summary!$U$2</definedName>
    <definedName name="Temp_80K_Stage" comment="Cryocooler 1st stage nominal temperature.">Summary!$U$4</definedName>
    <definedName name="Temp_Ambient">Summary!$U$6</definedName>
    <definedName name="Temp_Inter_Stage">Summary!$U$3</definedName>
    <definedName name="Temp_Intermediate">Summary!$U$5</definedName>
    <definedName name="Tn_IRD" comment="Approximate added contribution to Added noise contribution to Tsys from Integrated Receiver Downconverter (IRD) module. Assumed constant for all bands and frequencies. Can be assumed to be &lt;1K, for cascaded gain &gt;30 dB. ">1</definedName>
    <definedName name="User_Inputs" comment="A range defining the 7 cells with user inputs for antenna surface accuracy, antenna elevation, precipitable water vapor, Band 2 feed type, cryostat stage temperatures, and ambient temp value.">Summary!$T$2:$U$7</definedName>
    <definedName name="Vacuum_Window" comment="T_noise vs freq data table for vacuum window material.">Passives!$E$6:$F$23</definedName>
    <definedName name="Weather_Radome" comment="T_noise vs freq data table for weather radome material.">Passives!$B$6:$C$23</definedName>
    <definedName name="WG_Band3" comment="Waveguide loss for Band 3 rectangular guide, vs. frequency.">'WG and OMT'!$B$7:$C$22</definedName>
    <definedName name="WG_Band4" comment="Waveguide loss for Band 4 rectangular guide, vs. frequency.">'WG and OMT'!$F$7:$G$22</definedName>
    <definedName name="WG_Band5" comment="Waveguide loss for Band 5 rectangular guide, vs. frequency.">'WG and OMT'!$J$7:$K$22</definedName>
    <definedName name="WG_Band6" comment="Waveguide loss for Band 6 rectangular guide, vs. frequency.">'WG and OMT'!$N$7:$O$23</definedName>
    <definedName name="WG_Size_Band3">'WG and OMT'!$C$4</definedName>
    <definedName name="WG_Size_Band4">'WG and OMT'!$G$4</definedName>
    <definedName name="WG_Size_Band5">'WG and OMT'!$K$4</definedName>
    <definedName name="WG_Size_Band6">'WG and OMT'!$O$4</definedName>
  </definedNames>
  <calcPr calcId="191029"/>
</workbook>
</file>

<file path=xl/calcChain.xml><?xml version="1.0" encoding="utf-8"?>
<calcChain xmlns="http://schemas.openxmlformats.org/spreadsheetml/2006/main">
  <c r="T21" i="17" l="1"/>
  <c r="T20" i="17"/>
  <c r="T19" i="17"/>
  <c r="T18" i="17"/>
  <c r="T17" i="17"/>
  <c r="T16" i="17"/>
  <c r="T15" i="17"/>
  <c r="T14" i="17"/>
  <c r="T13" i="17"/>
  <c r="T12" i="17"/>
  <c r="T11" i="17"/>
  <c r="T10" i="17"/>
  <c r="T9" i="17"/>
  <c r="T8" i="17"/>
  <c r="T7" i="17"/>
  <c r="T6" i="17"/>
  <c r="P21" i="17"/>
  <c r="P20" i="17"/>
  <c r="P19" i="17"/>
  <c r="P18" i="17"/>
  <c r="P17" i="17"/>
  <c r="P16" i="17"/>
  <c r="P15" i="17"/>
  <c r="P14" i="17"/>
  <c r="P13" i="17"/>
  <c r="P12" i="17"/>
  <c r="P11" i="17"/>
  <c r="P10" i="17"/>
  <c r="P9" i="17"/>
  <c r="P8" i="17"/>
  <c r="P7" i="17"/>
  <c r="P6" i="17"/>
  <c r="H6" i="17"/>
  <c r="H21" i="17" l="1"/>
  <c r="H20" i="17"/>
  <c r="H19" i="17"/>
  <c r="H18" i="17"/>
  <c r="H17" i="17"/>
  <c r="H16" i="17"/>
  <c r="H15" i="17"/>
  <c r="H14" i="17"/>
  <c r="H13" i="17"/>
  <c r="H12" i="17"/>
  <c r="H11" i="17"/>
  <c r="H10" i="17"/>
  <c r="H9" i="17"/>
  <c r="H8" i="17"/>
  <c r="H7" i="17"/>
  <c r="D21" i="17"/>
  <c r="D20" i="17"/>
  <c r="D19" i="17"/>
  <c r="D18" i="17"/>
  <c r="D17" i="17"/>
  <c r="D16" i="17"/>
  <c r="D15" i="17"/>
  <c r="D14" i="17"/>
  <c r="D13" i="17"/>
  <c r="D12" i="17"/>
  <c r="D11" i="17"/>
  <c r="D10" i="17"/>
  <c r="D9" i="17"/>
  <c r="D8" i="17"/>
  <c r="D7" i="17"/>
  <c r="D6" i="17"/>
  <c r="S24" i="29" l="1"/>
  <c r="S16" i="29"/>
  <c r="S17" i="29"/>
  <c r="S18" i="29"/>
  <c r="S19" i="29"/>
  <c r="S20" i="29"/>
  <c r="S21" i="29"/>
  <c r="S22" i="29"/>
  <c r="S23" i="29"/>
  <c r="S15" i="29"/>
  <c r="G131" i="24" l="1"/>
  <c r="G130" i="24"/>
  <c r="G129" i="24"/>
  <c r="G128" i="24"/>
  <c r="G127" i="24"/>
  <c r="G126" i="24"/>
  <c r="D20" i="24"/>
  <c r="AE40" i="24"/>
  <c r="D18" i="24"/>
  <c r="P23" i="24"/>
  <c r="P24" i="24"/>
  <c r="AB30" i="24"/>
  <c r="D36" i="24"/>
  <c r="AE28" i="24"/>
  <c r="P39" i="24"/>
  <c r="AB19" i="24"/>
  <c r="AE12" i="24"/>
  <c r="D19" i="24"/>
  <c r="P14" i="24"/>
  <c r="P34" i="24"/>
  <c r="AB26" i="24"/>
  <c r="P40" i="24"/>
  <c r="AB31" i="24"/>
  <c r="AE25" i="24"/>
  <c r="AB40" i="24"/>
  <c r="AB15" i="24"/>
  <c r="AB12" i="24"/>
  <c r="AE38" i="24"/>
  <c r="D15" i="24"/>
  <c r="P27" i="24"/>
  <c r="AB35" i="24"/>
  <c r="D13" i="24"/>
  <c r="P13" i="24"/>
  <c r="P35" i="24"/>
  <c r="AE18" i="24"/>
  <c r="P41" i="24"/>
  <c r="AE14" i="24"/>
  <c r="AE17" i="24"/>
  <c r="D34" i="24"/>
  <c r="AE34" i="24"/>
  <c r="D17" i="24"/>
  <c r="P38" i="24"/>
  <c r="P30" i="24"/>
  <c r="AB27" i="24"/>
  <c r="AB37" i="24"/>
  <c r="AE19" i="24"/>
  <c r="P16" i="24"/>
  <c r="AB20" i="24"/>
  <c r="P18" i="24"/>
  <c r="D38" i="24"/>
  <c r="D27" i="24"/>
  <c r="D14" i="24"/>
  <c r="AB25" i="24"/>
  <c r="D16" i="24"/>
  <c r="D30" i="24"/>
  <c r="AB13" i="24"/>
  <c r="AB28" i="24"/>
  <c r="D24" i="24"/>
  <c r="P20" i="24"/>
  <c r="D23" i="24"/>
  <c r="AE31" i="24"/>
  <c r="AB17" i="24"/>
  <c r="D31" i="24"/>
  <c r="P28" i="24"/>
  <c r="AE15" i="24"/>
  <c r="D41" i="24"/>
  <c r="P12" i="24"/>
  <c r="P26" i="24"/>
  <c r="AB29" i="24"/>
  <c r="D29" i="24"/>
  <c r="D25" i="24"/>
  <c r="AB14" i="24"/>
  <c r="AE20" i="24"/>
  <c r="AB38" i="24"/>
  <c r="AE36" i="24"/>
  <c r="P37" i="24"/>
  <c r="P31" i="24"/>
  <c r="P15" i="24"/>
  <c r="AB34" i="24"/>
  <c r="AE24" i="24"/>
  <c r="AE26" i="24"/>
  <c r="P42" i="24"/>
  <c r="AB18" i="24"/>
  <c r="D39" i="24"/>
  <c r="AE37" i="24"/>
  <c r="AE30" i="24"/>
  <c r="P19" i="24"/>
  <c r="P36" i="24"/>
  <c r="AE13" i="24"/>
  <c r="D40" i="24"/>
  <c r="D37" i="24"/>
  <c r="AE16" i="24"/>
  <c r="P25" i="24"/>
  <c r="AB39" i="24"/>
  <c r="P29" i="24"/>
  <c r="AE29" i="24"/>
  <c r="D28" i="24"/>
  <c r="AE35" i="24"/>
  <c r="AB24" i="24"/>
  <c r="D26" i="24"/>
  <c r="AB42" i="24"/>
  <c r="AB41" i="24"/>
  <c r="AE41" i="24"/>
  <c r="D35" i="24"/>
  <c r="AE23" i="24"/>
  <c r="AE39" i="24"/>
  <c r="AB23" i="24"/>
  <c r="D42" i="24"/>
  <c r="AB16" i="24"/>
  <c r="AE42" i="24"/>
  <c r="D12" i="24"/>
  <c r="AB36" i="24"/>
  <c r="P17" i="24"/>
  <c r="AE27" i="24"/>
  <c r="AC16" i="24" l="1"/>
  <c r="AC34" i="24"/>
  <c r="AC15" i="24"/>
  <c r="AF14" i="24"/>
  <c r="AF19" i="24"/>
  <c r="AF35" i="24"/>
  <c r="AF20" i="24"/>
  <c r="AF36" i="24"/>
  <c r="AF37" i="24"/>
  <c r="AC20" i="24"/>
  <c r="AC36" i="24"/>
  <c r="AC37" i="24"/>
  <c r="AC38" i="24"/>
  <c r="AC19" i="24"/>
  <c r="AC35" i="24"/>
  <c r="AF42" i="24"/>
  <c r="AF23" i="24"/>
  <c r="AF39" i="24"/>
  <c r="AF24" i="24"/>
  <c r="AF40" i="24"/>
  <c r="AF25" i="24"/>
  <c r="AF41" i="24"/>
  <c r="AC17" i="24"/>
  <c r="AC31" i="24"/>
  <c r="AC24" i="24"/>
  <c r="AC40" i="24"/>
  <c r="AC25" i="24"/>
  <c r="AC41" i="24"/>
  <c r="AC26" i="24"/>
  <c r="AC42" i="24"/>
  <c r="AC23" i="24"/>
  <c r="AC39" i="24"/>
  <c r="AF26" i="24"/>
  <c r="AF27" i="24"/>
  <c r="AF12" i="24"/>
  <c r="AF28" i="24"/>
  <c r="AF13" i="24"/>
  <c r="AF29" i="24"/>
  <c r="AF18" i="24"/>
  <c r="AC18" i="24"/>
  <c r="AF38" i="24"/>
  <c r="AC12" i="24"/>
  <c r="AC28" i="24"/>
  <c r="AC13" i="24"/>
  <c r="AC29" i="24"/>
  <c r="AC14" i="24"/>
  <c r="AC30" i="24"/>
  <c r="AC27" i="24"/>
  <c r="AF34" i="24"/>
  <c r="AF15" i="24"/>
  <c r="AF31" i="24"/>
  <c r="AF16" i="24"/>
  <c r="AF17" i="24"/>
  <c r="AF30" i="24"/>
  <c r="S20" i="24"/>
  <c r="S34" i="24"/>
  <c r="G31" i="24"/>
  <c r="G17" i="24"/>
  <c r="S37" i="24"/>
  <c r="S29" i="24"/>
  <c r="G35" i="24"/>
  <c r="G37" i="24"/>
  <c r="G13" i="24"/>
  <c r="S18" i="24"/>
  <c r="S38" i="24"/>
  <c r="G34" i="24"/>
  <c r="G40" i="24"/>
  <c r="G38" i="24"/>
  <c r="S24" i="24"/>
  <c r="S40" i="24"/>
  <c r="S31" i="24"/>
  <c r="G36" i="24"/>
  <c r="G41" i="24"/>
  <c r="G20" i="24"/>
  <c r="G12" i="24"/>
  <c r="V27" i="16"/>
  <c r="S12" i="24"/>
  <c r="G25" i="24"/>
  <c r="S16" i="24"/>
  <c r="G14" i="24"/>
  <c r="G28" i="24"/>
  <c r="G18" i="24"/>
  <c r="S19" i="24"/>
  <c r="S26" i="24"/>
  <c r="S23" i="24"/>
  <c r="S39" i="24"/>
  <c r="G23" i="24"/>
  <c r="G30" i="24"/>
  <c r="G16" i="24"/>
  <c r="S25" i="24"/>
  <c r="V25" i="16"/>
  <c r="S28" i="24"/>
  <c r="S17" i="24"/>
  <c r="S36" i="24"/>
  <c r="G24" i="24"/>
  <c r="G26" i="24"/>
  <c r="G42" i="24"/>
  <c r="G19" i="24"/>
  <c r="V24" i="16"/>
  <c r="S35" i="24"/>
  <c r="S13" i="24"/>
  <c r="S27" i="24"/>
  <c r="S30" i="24"/>
  <c r="G29" i="24"/>
  <c r="G27" i="24"/>
  <c r="S41" i="24"/>
  <c r="V26" i="16"/>
  <c r="G15" i="24"/>
  <c r="S42" i="24"/>
  <c r="S14" i="24"/>
  <c r="S15" i="24"/>
  <c r="G39" i="24"/>
  <c r="AS21" i="23" l="1"/>
  <c r="AS4" i="23"/>
  <c r="AS21" i="22"/>
  <c r="AS4" i="22"/>
  <c r="E21" i="22"/>
  <c r="AS20" i="15"/>
  <c r="AS4" i="15"/>
  <c r="E21" i="23"/>
  <c r="E4" i="23"/>
  <c r="E4" i="15"/>
  <c r="E20" i="15"/>
  <c r="E4" i="22"/>
  <c r="N11" i="16"/>
  <c r="N10" i="16"/>
  <c r="K13" i="16"/>
  <c r="K12" i="16"/>
  <c r="E13" i="16"/>
  <c r="E12" i="16"/>
  <c r="R9" i="16"/>
  <c r="R8" i="16"/>
  <c r="K9" i="16"/>
  <c r="K8" i="16"/>
  <c r="E9" i="16"/>
  <c r="E8" i="16"/>
  <c r="B13" i="16"/>
  <c r="B12" i="16"/>
  <c r="B9" i="16"/>
  <c r="B8" i="16"/>
  <c r="C34" i="23" l="1"/>
  <c r="C33" i="23"/>
  <c r="C32" i="23"/>
  <c r="C31" i="23"/>
  <c r="C29" i="23"/>
  <c r="C28" i="23"/>
  <c r="C27" i="23"/>
  <c r="C25" i="23"/>
  <c r="C24" i="23"/>
  <c r="C23" i="23"/>
  <c r="C12" i="23"/>
  <c r="C14" i="23"/>
  <c r="C15" i="23"/>
  <c r="C11" i="23"/>
  <c r="C10" i="23"/>
  <c r="C8" i="23"/>
  <c r="C7" i="23"/>
  <c r="C6" i="23"/>
  <c r="C32" i="22"/>
  <c r="C30" i="22"/>
  <c r="C29" i="22"/>
  <c r="C28" i="22"/>
  <c r="C27" i="22"/>
  <c r="C25" i="22"/>
  <c r="C24" i="22"/>
  <c r="C23" i="22"/>
  <c r="C10" i="22"/>
  <c r="C11" i="22"/>
  <c r="C12" i="22"/>
  <c r="C13" i="22"/>
  <c r="C15" i="22"/>
  <c r="C8" i="22"/>
  <c r="C7" i="22"/>
  <c r="C6" i="22"/>
  <c r="C30" i="15"/>
  <c r="C28" i="15"/>
  <c r="C27" i="15"/>
  <c r="C26" i="15"/>
  <c r="C24" i="15"/>
  <c r="C23" i="15"/>
  <c r="C22" i="15"/>
  <c r="C12" i="15"/>
  <c r="C14" i="15"/>
  <c r="C10" i="15"/>
  <c r="C8" i="15"/>
  <c r="C7" i="15"/>
  <c r="C6" i="15"/>
  <c r="AA355" i="26"/>
  <c r="AA738" i="26"/>
  <c r="AA618" i="26"/>
  <c r="AA385" i="26"/>
  <c r="AA827" i="26"/>
  <c r="AA887" i="26"/>
  <c r="AA912" i="26"/>
  <c r="AA1020" i="26"/>
  <c r="AA1159" i="26"/>
  <c r="AA119" i="26"/>
  <c r="AA1095" i="26"/>
  <c r="AA16" i="26"/>
  <c r="AA1032" i="26"/>
  <c r="AA9" i="26"/>
  <c r="AA974" i="26"/>
  <c r="AA519" i="26"/>
  <c r="AA520" i="26"/>
  <c r="AA137" i="26"/>
  <c r="AA1063" i="26"/>
  <c r="AA252" i="26"/>
  <c r="AA155" i="26"/>
  <c r="AA409" i="26"/>
  <c r="AA219" i="26"/>
  <c r="AA242" i="26"/>
  <c r="AA306" i="26"/>
  <c r="AA818" i="26"/>
  <c r="AA390" i="26"/>
  <c r="AA972" i="26"/>
  <c r="AA195" i="26"/>
  <c r="AA1068" i="26"/>
  <c r="AA162" i="26"/>
  <c r="AA578" i="26"/>
  <c r="AA637" i="26"/>
  <c r="AA324" i="26"/>
  <c r="AA143" i="26"/>
  <c r="AA429" i="26"/>
  <c r="AA333" i="26"/>
  <c r="AA513" i="26"/>
  <c r="AA505" i="26"/>
  <c r="AA262" i="26"/>
  <c r="AA939" i="26"/>
  <c r="AA847" i="26"/>
  <c r="AA1039" i="26"/>
  <c r="AA1054" i="26"/>
  <c r="AA581" i="26"/>
  <c r="AA600" i="26"/>
  <c r="AA1107" i="26"/>
  <c r="AA7" i="26"/>
  <c r="AA640" i="26"/>
  <c r="AA421" i="26"/>
  <c r="AA339" i="26"/>
  <c r="AA630" i="26"/>
  <c r="AA748" i="26"/>
  <c r="AA701" i="26"/>
  <c r="AA1069" i="26"/>
  <c r="AA1117" i="26"/>
  <c r="AA1189" i="26"/>
  <c r="AA1181" i="26"/>
  <c r="AA654" i="26"/>
  <c r="AA1122" i="26"/>
  <c r="AA804" i="26"/>
  <c r="AA903" i="26"/>
  <c r="AA149" i="26"/>
  <c r="AA283" i="26"/>
  <c r="AA469" i="26"/>
  <c r="AA603" i="26"/>
  <c r="AA635" i="26"/>
  <c r="AA1010" i="26"/>
  <c r="AA348" i="26"/>
  <c r="AA264" i="26"/>
  <c r="AA739" i="26"/>
  <c r="AA638" i="26"/>
  <c r="AA288" i="26"/>
  <c r="AA725" i="26"/>
  <c r="AA590" i="26"/>
  <c r="AA417" i="26"/>
  <c r="AA526" i="26"/>
  <c r="AA1093" i="26"/>
  <c r="AA878" i="26"/>
  <c r="AA992" i="26"/>
  <c r="AA184" i="26"/>
  <c r="AA8" i="26"/>
  <c r="AA943" i="26"/>
  <c r="AA653" i="26"/>
  <c r="AA1046" i="26"/>
  <c r="AA205" i="26"/>
  <c r="AA917" i="26"/>
  <c r="AA1188" i="26"/>
  <c r="AA872" i="26"/>
  <c r="AA1114" i="26"/>
  <c r="AA1012" i="26"/>
  <c r="AA307" i="26"/>
  <c r="AA698" i="26"/>
  <c r="AA362" i="26"/>
  <c r="AA927" i="26"/>
  <c r="AA267" i="26"/>
  <c r="AA1168" i="26"/>
  <c r="AA160" i="26"/>
  <c r="AA57" i="26"/>
  <c r="AA496" i="26"/>
  <c r="AA121" i="26"/>
  <c r="AA763" i="26"/>
  <c r="AA1148" i="26"/>
  <c r="AA934" i="26"/>
  <c r="AA67" i="26"/>
  <c r="AA89" i="26"/>
  <c r="AA84" i="26"/>
  <c r="AA1172" i="26"/>
  <c r="AA418" i="26"/>
  <c r="AA884" i="26"/>
  <c r="AA197" i="26"/>
  <c r="AA245" i="26"/>
  <c r="AA555" i="26"/>
  <c r="AA202" i="26"/>
  <c r="AA981" i="26"/>
  <c r="AA458" i="26"/>
  <c r="AA935" i="26"/>
  <c r="AA1015" i="26"/>
  <c r="AA499" i="26"/>
  <c r="AA1164" i="26"/>
  <c r="AA460" i="26"/>
  <c r="AA116" i="26"/>
  <c r="AA743" i="26"/>
  <c r="AA1134" i="26"/>
  <c r="AA221" i="26"/>
  <c r="AA1080" i="26"/>
  <c r="AA164" i="26"/>
  <c r="AA230" i="26"/>
  <c r="AA770" i="26"/>
  <c r="AA479" i="26"/>
  <c r="AA716" i="26"/>
  <c r="AA558" i="26"/>
  <c r="AA968" i="26"/>
  <c r="AA689" i="26"/>
  <c r="AA1061" i="26"/>
  <c r="AA534" i="26"/>
  <c r="AA323" i="26"/>
  <c r="AA207" i="26"/>
  <c r="AA551" i="26"/>
  <c r="AA651" i="26"/>
  <c r="AA594" i="26"/>
  <c r="AA498" i="26"/>
  <c r="AA1137" i="26"/>
  <c r="AA412" i="26"/>
  <c r="AA90" i="26"/>
  <c r="AA604" i="26"/>
  <c r="AA231" i="26"/>
  <c r="AA481" i="26"/>
  <c r="AA524" i="26"/>
  <c r="AA146" i="26"/>
  <c r="AA369" i="26"/>
  <c r="AA1084" i="26"/>
  <c r="AA703" i="26"/>
  <c r="AA676" i="26"/>
  <c r="AA544" i="26"/>
  <c r="AA826" i="26"/>
  <c r="AA582" i="26"/>
  <c r="AA212" i="26"/>
  <c r="AA148" i="26"/>
  <c r="AA641" i="26"/>
  <c r="AA869" i="26"/>
  <c r="AA313" i="26"/>
  <c r="AA234" i="26"/>
  <c r="AA1155" i="26"/>
  <c r="AA298" i="26"/>
  <c r="AA734" i="26"/>
  <c r="AA346" i="26"/>
  <c r="AA334" i="26"/>
  <c r="AA443" i="26"/>
  <c r="AA502" i="26"/>
  <c r="AA336" i="26"/>
  <c r="AA199" i="26"/>
  <c r="AA549" i="26"/>
  <c r="AA69" i="26"/>
  <c r="AA685" i="26"/>
  <c r="AA575" i="26"/>
  <c r="AA273" i="26"/>
  <c r="AA461" i="26"/>
  <c r="AA941" i="26"/>
  <c r="AA438" i="26"/>
  <c r="AA472" i="26"/>
  <c r="AA303" i="26"/>
  <c r="AA1125" i="26"/>
  <c r="AA351" i="26"/>
  <c r="AA1127" i="26"/>
  <c r="AA579" i="26"/>
  <c r="AA768" i="26"/>
  <c r="AA626" i="26"/>
  <c r="AA1036" i="26"/>
  <c r="AA153" i="26"/>
  <c r="AA399" i="26"/>
  <c r="AA337" i="26"/>
  <c r="AA671" i="26"/>
  <c r="AA595" i="26"/>
  <c r="AA364" i="26"/>
  <c r="AA380" i="26"/>
  <c r="AA719" i="26"/>
  <c r="AA180" i="26"/>
  <c r="AA240" i="26"/>
  <c r="AA255" i="26"/>
  <c r="AA241" i="26"/>
  <c r="AA309" i="26"/>
  <c r="AA646" i="26"/>
  <c r="AA1190" i="26"/>
  <c r="AA405" i="26"/>
  <c r="AA539" i="26"/>
  <c r="AA218" i="26"/>
  <c r="AA707" i="26"/>
  <c r="AA566" i="26"/>
  <c r="AA1123" i="26"/>
  <c r="AA669" i="26"/>
  <c r="AA1171" i="26"/>
  <c r="AA157" i="26"/>
  <c r="AA760" i="26"/>
  <c r="AA670" i="26"/>
  <c r="AA532" i="26"/>
  <c r="AA1112" i="26"/>
  <c r="AA433" i="26"/>
  <c r="AA377" i="26"/>
  <c r="AA145" i="26"/>
  <c r="AA366" i="26"/>
  <c r="AA643" i="26"/>
  <c r="AA375" i="26"/>
  <c r="AA477" i="26"/>
  <c r="AA870" i="26"/>
  <c r="AA731" i="26"/>
  <c r="AA955" i="26"/>
  <c r="AA596" i="26"/>
  <c r="AA751" i="26"/>
  <c r="AA664" i="26"/>
  <c r="AA793" i="26"/>
  <c r="AA923" i="26"/>
  <c r="AA1005" i="26"/>
  <c r="AA1131" i="26"/>
  <c r="AA50" i="26"/>
  <c r="AA410" i="26"/>
  <c r="AA196" i="26"/>
  <c r="AA315" i="26"/>
  <c r="AA249" i="26"/>
  <c r="AA183" i="26"/>
  <c r="AA106" i="26"/>
  <c r="AA271" i="26"/>
  <c r="AA585" i="26"/>
  <c r="AA527" i="26"/>
  <c r="AA459" i="26"/>
  <c r="AA36" i="26"/>
  <c r="AA610" i="26"/>
  <c r="AA124" i="26"/>
  <c r="AA473" i="26"/>
  <c r="AA287" i="26"/>
  <c r="AA557" i="26"/>
  <c r="AA403" i="26"/>
  <c r="AA448" i="26"/>
  <c r="AA182" i="26"/>
  <c r="AA548" i="26"/>
  <c r="AA215" i="26"/>
  <c r="AA352" i="26"/>
  <c r="AA447" i="26"/>
  <c r="AA1078" i="26"/>
  <c r="AA995" i="26"/>
  <c r="AA492" i="26"/>
  <c r="AA1004" i="26"/>
  <c r="AA749" i="26"/>
  <c r="AA1041" i="26"/>
  <c r="AA1033" i="26"/>
  <c r="AA890" i="26"/>
  <c r="AA1121" i="26"/>
  <c r="AA1002" i="26"/>
  <c r="AA1145" i="26"/>
  <c r="AA710" i="26"/>
  <c r="AA248" i="26"/>
  <c r="AA1120" i="26"/>
  <c r="AA975" i="26"/>
  <c r="AA747" i="26"/>
  <c r="AA682" i="26"/>
  <c r="AA998" i="26"/>
  <c r="AA335" i="26"/>
  <c r="AA165" i="26"/>
  <c r="AA209" i="26"/>
  <c r="AA220" i="26"/>
  <c r="AA563" i="26"/>
  <c r="AA476" i="26"/>
  <c r="AA580" i="26"/>
  <c r="AA420" i="26"/>
  <c r="AA798" i="26"/>
  <c r="AA677" i="26"/>
  <c r="AA910" i="26"/>
  <c r="AA994" i="26"/>
  <c r="AA1017" i="26"/>
  <c r="AA546" i="26"/>
  <c r="AA1157" i="26"/>
  <c r="AA152" i="26"/>
  <c r="AA702" i="26"/>
  <c r="AA1108" i="26"/>
  <c r="AA456" i="26"/>
  <c r="AA128" i="26"/>
  <c r="AA1151" i="26"/>
  <c r="AA17" i="26"/>
  <c r="AA325" i="26"/>
  <c r="AA45" i="26"/>
  <c r="AA31" i="26"/>
  <c r="AA261" i="26"/>
  <c r="AA117" i="26"/>
  <c r="AA522" i="26"/>
  <c r="AA1113" i="26"/>
  <c r="AA864" i="26"/>
  <c r="AA690" i="26"/>
  <c r="AA991" i="26"/>
  <c r="AA652" i="26"/>
  <c r="AA784" i="26"/>
  <c r="AA368" i="26"/>
  <c r="AA111" i="26"/>
  <c r="AA292" i="26"/>
  <c r="AA32" i="26"/>
  <c r="AA694" i="26"/>
  <c r="AA1097" i="26"/>
  <c r="AA1116" i="26"/>
  <c r="AA1110" i="26"/>
  <c r="AA659" i="26"/>
  <c r="AA296" i="26"/>
  <c r="AA762" i="26"/>
  <c r="AA257" i="26"/>
  <c r="AA423" i="26"/>
  <c r="AA178" i="26"/>
  <c r="AA480" i="26"/>
  <c r="AA233" i="26"/>
  <c r="AA19" i="26"/>
  <c r="AA173" i="26"/>
  <c r="AA107" i="26"/>
  <c r="AA1149" i="26"/>
  <c r="AA254" i="26"/>
  <c r="AA378" i="26"/>
  <c r="AA1018" i="26"/>
  <c r="AA634" i="26"/>
  <c r="AA1059" i="26"/>
  <c r="AA639" i="26"/>
  <c r="AA1072" i="26"/>
  <c r="AA1165" i="26"/>
  <c r="AA91" i="26"/>
  <c r="AA970" i="26"/>
  <c r="AA453" i="26"/>
  <c r="AA1140" i="26"/>
  <c r="AA247" i="26"/>
  <c r="AA1195" i="26"/>
  <c r="AA591" i="26"/>
  <c r="AA877" i="26"/>
  <c r="AA22" i="26"/>
  <c r="AA908" i="26"/>
  <c r="AA110" i="26"/>
  <c r="AA756" i="26"/>
  <c r="AA354" i="26"/>
  <c r="AA94" i="26"/>
  <c r="AA434" i="26"/>
  <c r="AA769" i="26"/>
  <c r="AA402" i="26"/>
  <c r="AA882" i="26"/>
  <c r="AA463" i="26"/>
  <c r="AA1024" i="26"/>
  <c r="AA547" i="26"/>
  <c r="AA168" i="26"/>
  <c r="AA388" i="26"/>
  <c r="AA372" i="26"/>
  <c r="AA598" i="26"/>
  <c r="AA713" i="26"/>
  <c r="AA361" i="26"/>
  <c r="AA305" i="26"/>
  <c r="AA938" i="26"/>
  <c r="AA714" i="26"/>
  <c r="AA782" i="26"/>
  <c r="AA811" i="26"/>
  <c r="AA66" i="26"/>
  <c r="AA631" i="26"/>
  <c r="AA607" i="26"/>
  <c r="AA228" i="26"/>
  <c r="AA829" i="26"/>
  <c r="AA573" i="26"/>
  <c r="AA1040" i="26"/>
  <c r="AA406" i="26"/>
  <c r="AA424" i="26"/>
  <c r="AA105" i="26"/>
  <c r="AA783" i="26"/>
  <c r="AA42" i="26"/>
  <c r="AA1050" i="26"/>
  <c r="AA246" i="26"/>
  <c r="AA696" i="26"/>
  <c r="AA75" i="26"/>
  <c r="AA663" i="26"/>
  <c r="AA437" i="26"/>
  <c r="AA201" i="26"/>
  <c r="AA250" i="26"/>
  <c r="AA570" i="26"/>
  <c r="AA764" i="26"/>
  <c r="AA961" i="26"/>
  <c r="AA321" i="26"/>
  <c r="AA277" i="26"/>
  <c r="AA515" i="26"/>
  <c r="AA561" i="26"/>
  <c r="AA627" i="26"/>
  <c r="AA179" i="26"/>
  <c r="AA541" i="26"/>
  <c r="AA407" i="26"/>
  <c r="AA951" i="26"/>
  <c r="AA400" i="26"/>
  <c r="AA530" i="26"/>
  <c r="AA169" i="26"/>
  <c r="AA300" i="26"/>
  <c r="AA140" i="26"/>
  <c r="AA545" i="26"/>
  <c r="AA586" i="26"/>
  <c r="AA210" i="26"/>
  <c r="AA1075" i="26"/>
  <c r="AA865" i="26"/>
  <c r="AA1124" i="26"/>
  <c r="AA977" i="26"/>
  <c r="AA100" i="26"/>
  <c r="AA393" i="26"/>
  <c r="AA873" i="26"/>
  <c r="AA592" i="26"/>
  <c r="AA442" i="26"/>
  <c r="AA213" i="26"/>
  <c r="AA347" i="26"/>
  <c r="AA538" i="26"/>
  <c r="AA796" i="26"/>
  <c r="AA187" i="26"/>
  <c r="AA584" i="26"/>
  <c r="AA379" i="26"/>
  <c r="AA673" i="26"/>
  <c r="AA668" i="26"/>
  <c r="AA797" i="26"/>
  <c r="AA926" i="26"/>
  <c r="AA495" i="26"/>
  <c r="AA80" i="26"/>
  <c r="AA660" i="26"/>
  <c r="AA357" i="26"/>
  <c r="AA190" i="26"/>
  <c r="AA170" i="26"/>
  <c r="AA1076" i="26"/>
  <c r="AA465" i="26"/>
  <c r="AA636" i="26"/>
  <c r="AA553" i="26"/>
  <c r="AA848" i="26"/>
  <c r="AA1196" i="26"/>
  <c r="AA1022" i="26"/>
  <c r="AA129" i="26"/>
  <c r="AA919" i="26"/>
  <c r="AA973" i="26"/>
  <c r="AA1051" i="26"/>
  <c r="AA70" i="26"/>
  <c r="AA1092" i="26"/>
  <c r="AA672" i="26"/>
  <c r="AA1021" i="26"/>
  <c r="AA1099" i="26"/>
  <c r="AA855" i="26"/>
  <c r="AA517" i="26"/>
  <c r="AA967" i="26"/>
  <c r="AA266" i="26"/>
  <c r="AA314" i="26"/>
  <c r="AA911" i="26"/>
  <c r="AA789" i="26"/>
  <c r="AA966" i="26"/>
  <c r="AA158" i="26"/>
  <c r="AA874" i="26"/>
  <c r="AA1027" i="26"/>
  <c r="AA154" i="26"/>
  <c r="AA642" i="26"/>
  <c r="AA474" i="26"/>
  <c r="AA452" i="26"/>
  <c r="AA425" i="26"/>
  <c r="AA52" i="26"/>
  <c r="AA509" i="26"/>
  <c r="AA41" i="26"/>
  <c r="AA258" i="26"/>
  <c r="AA996" i="26"/>
  <c r="AA776" i="26"/>
  <c r="AA1082" i="26"/>
  <c r="AA1173" i="26"/>
  <c r="AA816" i="26"/>
  <c r="AA836" i="26"/>
  <c r="AA96" i="26"/>
  <c r="AA1135" i="26"/>
  <c r="AA39" i="26"/>
  <c r="AA1026" i="26"/>
  <c r="AA491" i="26"/>
  <c r="AA1042" i="26"/>
  <c r="AA401" i="26"/>
  <c r="AA1106" i="26"/>
  <c r="AA238" i="26"/>
  <c r="AA302" i="26"/>
  <c r="AA1152" i="26"/>
  <c r="AA386" i="26"/>
  <c r="AA1132" i="26"/>
  <c r="AA567" i="26"/>
  <c r="AA63" i="26"/>
  <c r="AA1174" i="26"/>
  <c r="AA1153" i="26"/>
  <c r="AA78" i="26"/>
  <c r="AA1156" i="26"/>
  <c r="AA1045" i="26"/>
  <c r="AA279" i="26"/>
  <c r="AA101" i="26"/>
  <c r="AA699" i="26"/>
  <c r="AA1088" i="26"/>
  <c r="AA945" i="26"/>
  <c r="AA1081" i="26"/>
  <c r="AA666" i="26"/>
  <c r="AA1169" i="26"/>
  <c r="AA608" i="26"/>
  <c r="AA905" i="26"/>
  <c r="AA898" i="26"/>
  <c r="AA791" i="26"/>
  <c r="AA732" i="26"/>
  <c r="AA1052" i="26"/>
  <c r="AA340" i="26"/>
  <c r="AA507" i="26"/>
  <c r="AA297" i="26"/>
  <c r="AA675" i="26"/>
  <c r="AA214" i="26"/>
  <c r="AA933" i="26"/>
  <c r="AA599" i="26"/>
  <c r="AA997" i="26"/>
  <c r="AA396" i="26"/>
  <c r="AA871" i="26"/>
  <c r="AA560" i="26"/>
  <c r="AA1100" i="26"/>
  <c r="AA772" i="26"/>
  <c r="AA840" i="26"/>
  <c r="AA1086" i="26"/>
  <c r="AA1049" i="26"/>
  <c r="AA868" i="26"/>
  <c r="AA757" i="26"/>
  <c r="AA844" i="26"/>
  <c r="AA706" i="26"/>
  <c r="AA931" i="26"/>
  <c r="AA920" i="26"/>
  <c r="AA767" i="26"/>
  <c r="AA1091" i="26"/>
  <c r="AA879" i="26"/>
  <c r="AA166" i="26"/>
  <c r="AA909" i="26"/>
  <c r="AA338" i="26"/>
  <c r="AA802" i="26"/>
  <c r="AA243" i="26"/>
  <c r="AA1056" i="26"/>
  <c r="AA316" i="26"/>
  <c r="AA572" i="26"/>
  <c r="AA470" i="26"/>
  <c r="AA217" i="26"/>
  <c r="AA483" i="26"/>
  <c r="AA397" i="26"/>
  <c r="AA510" i="26"/>
  <c r="AA569" i="26"/>
  <c r="AA270" i="26"/>
  <c r="AA550" i="26"/>
  <c r="AA284" i="26"/>
  <c r="AA1136" i="26"/>
  <c r="AA272" i="26"/>
  <c r="AA59" i="26"/>
  <c r="AA489" i="26"/>
  <c r="AA449" i="26"/>
  <c r="AA867" i="26"/>
  <c r="AA237" i="26"/>
  <c r="AA289" i="26"/>
  <c r="AA617" i="26"/>
  <c r="AA605" i="26"/>
  <c r="AA814" i="26"/>
  <c r="AA176" i="26"/>
  <c r="AA899" i="26"/>
  <c r="AA244" i="26"/>
  <c r="AA21" i="26"/>
  <c r="AA993" i="26"/>
  <c r="AA574" i="26"/>
  <c r="AA838" i="26"/>
  <c r="AA163" i="26"/>
  <c r="AA752" i="26"/>
  <c r="AA93" i="26"/>
  <c r="AA613" i="26"/>
  <c r="AA650" i="26"/>
  <c r="AA426" i="26"/>
  <c r="AA1170" i="26"/>
  <c r="AA227" i="26"/>
  <c r="AA23" i="26"/>
  <c r="AA311" i="26"/>
  <c r="AA103" i="26"/>
  <c r="AA564" i="26"/>
  <c r="AA854" i="26"/>
  <c r="AA853" i="26"/>
  <c r="AA376" i="26"/>
  <c r="AA1057" i="26"/>
  <c r="AA88" i="26"/>
  <c r="AA1025" i="26"/>
  <c r="AA593" i="26"/>
  <c r="AA308" i="26"/>
  <c r="AA514" i="26"/>
  <c r="AA901" i="26"/>
  <c r="AA771" i="26"/>
  <c r="AA204" i="26"/>
  <c r="AA856" i="26"/>
  <c r="AA687" i="26"/>
  <c r="AA1085" i="26"/>
  <c r="AA1133" i="26"/>
  <c r="AA34" i="26"/>
  <c r="AA842" i="26"/>
  <c r="AA614" i="26"/>
  <c r="AA1138" i="26"/>
  <c r="AA957" i="26"/>
  <c r="AA384" i="26"/>
  <c r="AA203" i="26"/>
  <c r="AA1079" i="26"/>
  <c r="AA523" i="26"/>
  <c r="AA25" i="26"/>
  <c r="AA965" i="26"/>
  <c r="AA625" i="26"/>
  <c r="AA536" i="26"/>
  <c r="AA290" i="26"/>
  <c r="AA343" i="26"/>
  <c r="AA109" i="26"/>
  <c r="AA455" i="26"/>
  <c r="AA1176" i="26"/>
  <c r="AA633" i="26"/>
  <c r="AA85" i="26"/>
  <c r="AA753" i="26"/>
  <c r="AA503" i="26"/>
  <c r="AA226" i="26"/>
  <c r="AA172" i="26"/>
  <c r="AA711" i="26"/>
  <c r="AA251" i="26"/>
  <c r="AA501" i="26"/>
  <c r="AA695" i="26"/>
  <c r="AA665" i="26"/>
  <c r="AA122" i="26"/>
  <c r="AA38" i="26"/>
  <c r="AA367" i="26"/>
  <c r="AA222" i="26"/>
  <c r="AA990" i="26"/>
  <c r="AA885" i="26"/>
  <c r="AA74" i="26"/>
  <c r="AA14" i="26"/>
  <c r="AA186" i="26"/>
  <c r="AA831" i="26"/>
  <c r="AA286" i="26"/>
  <c r="AA382" i="26"/>
  <c r="AA312" i="26"/>
  <c r="AA1141" i="26"/>
  <c r="AA440" i="26"/>
  <c r="AA331" i="26"/>
  <c r="AA135" i="26"/>
  <c r="AA628" i="26"/>
  <c r="AA741" i="26"/>
  <c r="AA206" i="26"/>
  <c r="AA932" i="26"/>
  <c r="AA775" i="26"/>
  <c r="AA253" i="26"/>
  <c r="AA454" i="26"/>
  <c r="AA310" i="26"/>
  <c r="AA940" i="26"/>
  <c r="AA850" i="26"/>
  <c r="AA13" i="26"/>
  <c r="AA370" i="26"/>
  <c r="AA389" i="26"/>
  <c r="AA278" i="26"/>
  <c r="AA852" i="26"/>
  <c r="AA843" i="26"/>
  <c r="AA705" i="26"/>
  <c r="AA837" i="26"/>
  <c r="AA1160" i="26"/>
  <c r="AA61" i="26"/>
  <c r="AA946" i="26"/>
  <c r="AA728" i="26"/>
  <c r="AA1105" i="26"/>
  <c r="AA26" i="26"/>
  <c r="AA700" i="26"/>
  <c r="AA521" i="26"/>
  <c r="D21" i="24"/>
  <c r="AE43" i="24"/>
  <c r="Q12" i="23"/>
  <c r="AA948" i="26"/>
  <c r="AA381" i="26"/>
  <c r="AA525" i="26"/>
  <c r="AA709" i="26"/>
  <c r="AA1048" i="26"/>
  <c r="AA893" i="26"/>
  <c r="AA416" i="26"/>
  <c r="AA1053" i="26"/>
  <c r="AA293" i="26"/>
  <c r="AA371" i="26"/>
  <c r="AA681" i="26"/>
  <c r="AA341" i="26"/>
  <c r="AA984" i="26"/>
  <c r="AA533" i="26"/>
  <c r="AA758" i="26"/>
  <c r="AA576" i="26"/>
  <c r="AA825" i="26"/>
  <c r="AA632" i="26"/>
  <c r="AA819" i="26"/>
  <c r="AA446" i="26"/>
  <c r="AA1146" i="26"/>
  <c r="AA1009" i="26"/>
  <c r="AA684" i="26"/>
  <c r="AA895" i="26"/>
  <c r="AA345" i="26"/>
  <c r="AA692" i="26"/>
  <c r="AA1143" i="26"/>
  <c r="AA799" i="26"/>
  <c r="AA493" i="26"/>
  <c r="AA529" i="26"/>
  <c r="AA606" i="26"/>
  <c r="AA127" i="26"/>
  <c r="AA404" i="26"/>
  <c r="AA422" i="26"/>
  <c r="AA971" i="26"/>
  <c r="AA727" i="26"/>
  <c r="AA83" i="26"/>
  <c r="AA1101" i="26"/>
  <c r="AA359" i="26"/>
  <c r="AA803" i="26"/>
  <c r="AA504" i="26"/>
  <c r="AA737" i="26"/>
  <c r="AA778" i="26"/>
  <c r="AA383" i="26"/>
  <c r="AA891" i="26"/>
  <c r="AA1047" i="26"/>
  <c r="AA1167" i="26"/>
  <c r="AA953" i="26"/>
  <c r="AA192" i="26"/>
  <c r="AA937" i="26"/>
  <c r="AA1186" i="26"/>
  <c r="AA733" i="26"/>
  <c r="AA177" i="26"/>
  <c r="AA136" i="26"/>
  <c r="AA988" i="26"/>
  <c r="AA1065" i="26"/>
  <c r="AA500" i="26"/>
  <c r="AA928" i="26"/>
  <c r="AA722" i="26"/>
  <c r="AA851" i="26"/>
  <c r="AA1003" i="26"/>
  <c r="AA435" i="26"/>
  <c r="AA53" i="26"/>
  <c r="AA740" i="26"/>
  <c r="AA780" i="26"/>
  <c r="AA556" i="26"/>
  <c r="AA589" i="26"/>
  <c r="AA554" i="26"/>
  <c r="AA979" i="26"/>
  <c r="AA51" i="26"/>
  <c r="AA761" i="26"/>
  <c r="AE21" i="24"/>
  <c r="AB43" i="24"/>
  <c r="P11" i="24"/>
  <c r="P32" i="24"/>
  <c r="H30" i="24"/>
  <c r="D32" i="24"/>
  <c r="Y12" i="15"/>
  <c r="I13" i="15"/>
  <c r="I10" i="22"/>
  <c r="I31" i="22"/>
  <c r="Q15" i="23"/>
  <c r="R34" i="23"/>
  <c r="Q29" i="23"/>
  <c r="M10" i="23"/>
  <c r="I41" i="24"/>
  <c r="AA978" i="26"/>
  <c r="AA432" i="26"/>
  <c r="AA1014" i="26"/>
  <c r="AA1034" i="26"/>
  <c r="AA735" i="26"/>
  <c r="AB11" i="24"/>
  <c r="D11" i="24"/>
  <c r="I32" i="22"/>
  <c r="Q32" i="23"/>
  <c r="N15" i="23"/>
  <c r="AA181" i="26"/>
  <c r="AA193" i="26"/>
  <c r="AA320" i="26"/>
  <c r="AA58" i="26"/>
  <c r="AA81" i="26"/>
  <c r="AA969" i="26"/>
  <c r="AA301" i="26"/>
  <c r="AA999" i="26"/>
  <c r="AA892" i="26"/>
  <c r="AA10" i="26"/>
  <c r="AA12" i="26"/>
  <c r="AA497" i="26"/>
  <c r="AA936" i="26"/>
  <c r="AA198" i="26"/>
  <c r="AA451" i="26"/>
  <c r="AA862" i="26"/>
  <c r="AA511" i="26"/>
  <c r="AA112" i="26"/>
  <c r="AA786" i="26"/>
  <c r="AA71" i="26"/>
  <c r="AA1111" i="26"/>
  <c r="AA611" i="26"/>
  <c r="AA211" i="26"/>
  <c r="AA952" i="26"/>
  <c r="AA621" i="26"/>
  <c r="AA902" i="26"/>
  <c r="AA427" i="26"/>
  <c r="AA141" i="26"/>
  <c r="AA1194" i="26"/>
  <c r="AA537" i="26"/>
  <c r="AA683" i="26"/>
  <c r="AA985" i="26"/>
  <c r="AA1104" i="26"/>
  <c r="AA113" i="26"/>
  <c r="AA644" i="26"/>
  <c r="AA1031" i="26"/>
  <c r="AA194" i="26"/>
  <c r="AA415" i="26"/>
  <c r="AA720" i="26"/>
  <c r="AA587" i="26"/>
  <c r="AA131" i="26"/>
  <c r="AA1187" i="26"/>
  <c r="AA138" i="26"/>
  <c r="AA861" i="26"/>
  <c r="AA44" i="26"/>
  <c r="AA133" i="26"/>
  <c r="AA132" i="26"/>
  <c r="AA408" i="26"/>
  <c r="AA92" i="26"/>
  <c r="AA224" i="26"/>
  <c r="AA944" i="26"/>
  <c r="AA398" i="26"/>
  <c r="AA1074" i="26"/>
  <c r="AA322" i="26"/>
  <c r="AA1144" i="26"/>
  <c r="AA76" i="26"/>
  <c r="AA959" i="26"/>
  <c r="AA120" i="26"/>
  <c r="AA956" i="26"/>
  <c r="AA304" i="26"/>
  <c r="AA18" i="26"/>
  <c r="H17" i="24" s="1"/>
  <c r="AA808" i="26"/>
  <c r="AA918" i="26"/>
  <c r="AA860" i="26"/>
  <c r="AA1016" i="26"/>
  <c r="AA881" i="26"/>
  <c r="AA616" i="26"/>
  <c r="AA718" i="26"/>
  <c r="AA99" i="26"/>
  <c r="AA916" i="26"/>
  <c r="AA373" i="26"/>
  <c r="H28" i="24"/>
  <c r="AB21" i="24"/>
  <c r="H15" i="24"/>
  <c r="H42" i="24"/>
  <c r="H14" i="24"/>
  <c r="D43" i="24"/>
  <c r="P33" i="24"/>
  <c r="I9" i="15"/>
  <c r="I9" i="22"/>
  <c r="I24" i="22"/>
  <c r="Q27" i="23"/>
  <c r="M7" i="23"/>
  <c r="Q8" i="23"/>
  <c r="M26" i="23"/>
  <c r="Q9" i="23"/>
  <c r="U41" i="24"/>
  <c r="AA512" i="26"/>
  <c r="AA191" i="26"/>
  <c r="AA886" i="26"/>
  <c r="AA766" i="26"/>
  <c r="AA1043" i="26"/>
  <c r="AA1162" i="26"/>
  <c r="AA1178" i="26"/>
  <c r="AA982" i="26"/>
  <c r="AA750" i="26"/>
  <c r="AA615" i="26"/>
  <c r="AA156" i="26"/>
  <c r="AA175" i="26"/>
  <c r="AA35" i="26"/>
  <c r="AA922" i="26"/>
  <c r="P22" i="24"/>
  <c r="P21" i="24"/>
  <c r="I26" i="15"/>
  <c r="M30" i="23"/>
  <c r="T41" i="24"/>
  <c r="AA185" i="26"/>
  <c r="AA317" i="26"/>
  <c r="AA629" i="26"/>
  <c r="AA930" i="26"/>
  <c r="AA781" i="26"/>
  <c r="AA835" i="26"/>
  <c r="AA360" i="26"/>
  <c r="AA229" i="26"/>
  <c r="AA414" i="26"/>
  <c r="AA276" i="26"/>
  <c r="AA1023" i="26"/>
  <c r="AA115" i="26"/>
  <c r="AA419" i="26"/>
  <c r="AA392" i="26"/>
  <c r="AA648" i="26"/>
  <c r="AA679" i="26"/>
  <c r="AA1191" i="26"/>
  <c r="AA126" i="26"/>
  <c r="AA823" i="26"/>
  <c r="AA1062" i="26"/>
  <c r="AA680" i="26"/>
  <c r="AA921" i="26"/>
  <c r="AA188" i="26"/>
  <c r="AA674" i="26"/>
  <c r="AA963" i="26"/>
  <c r="AA1035" i="26"/>
  <c r="AA350" i="26"/>
  <c r="AA777" i="26"/>
  <c r="AA983" i="26"/>
  <c r="AA508" i="26"/>
  <c r="AA987" i="26"/>
  <c r="AA906" i="26"/>
  <c r="AA268" i="26"/>
  <c r="AA79" i="26"/>
  <c r="AA159" i="26"/>
  <c r="AA875" i="26"/>
  <c r="AA1037" i="26"/>
  <c r="AA82" i="26"/>
  <c r="AA834" i="26"/>
  <c r="AA189" i="26"/>
  <c r="AA24" i="26"/>
  <c r="AA439" i="26"/>
  <c r="AA151" i="26"/>
  <c r="AA1001" i="26"/>
  <c r="AA859" i="26"/>
  <c r="AA1163" i="26"/>
  <c r="AA77" i="26"/>
  <c r="AA915" i="26"/>
  <c r="AA64" i="26"/>
  <c r="AA1030" i="26"/>
  <c r="AA108" i="26"/>
  <c r="AA33" i="26"/>
  <c r="AA1055" i="26"/>
  <c r="AA1087" i="26"/>
  <c r="AA810" i="26"/>
  <c r="AA55" i="26"/>
  <c r="AA260" i="26"/>
  <c r="AA1094" i="26"/>
  <c r="AA225" i="26"/>
  <c r="AA678" i="26"/>
  <c r="AA349" i="26"/>
  <c r="AA40" i="26"/>
  <c r="AA72" i="26"/>
  <c r="AA330" i="26"/>
  <c r="AA980" i="26"/>
  <c r="AA1098" i="26"/>
  <c r="AA704" i="26"/>
  <c r="AA326" i="26"/>
  <c r="AA1179" i="26"/>
  <c r="AA200" i="26"/>
  <c r="AA880" i="26"/>
  <c r="AE11" i="24"/>
  <c r="H18" i="24"/>
  <c r="H35" i="24"/>
  <c r="H26" i="24"/>
  <c r="H19" i="24"/>
  <c r="H29" i="24"/>
  <c r="I8" i="15"/>
  <c r="I24" i="15"/>
  <c r="I27" i="22"/>
  <c r="J15" i="22"/>
  <c r="N32" i="23"/>
  <c r="R15" i="23"/>
  <c r="M13" i="23"/>
  <c r="Q24" i="23"/>
  <c r="M27" i="23"/>
  <c r="G32" i="24"/>
  <c r="AA171" i="26"/>
  <c r="AA161" i="26"/>
  <c r="AA139" i="26"/>
  <c r="AA428" i="26"/>
  <c r="AA774" i="26"/>
  <c r="AA11" i="26"/>
  <c r="AA27" i="26"/>
  <c r="AA275" i="26"/>
  <c r="AA1089" i="26"/>
  <c r="AA46" i="26"/>
  <c r="AA6" i="26"/>
  <c r="AA542" i="26"/>
  <c r="AA467" i="26"/>
  <c r="AA1000" i="26"/>
  <c r="H12" i="24"/>
  <c r="I10" i="15"/>
  <c r="M25" i="23"/>
  <c r="Q10" i="23"/>
  <c r="U30" i="24"/>
  <c r="AA235" i="26"/>
  <c r="AA715" i="26"/>
  <c r="AA494" i="26"/>
  <c r="AA104" i="26"/>
  <c r="AA661" i="26"/>
  <c r="AA29" i="26"/>
  <c r="AA717" i="26"/>
  <c r="AA807" i="26"/>
  <c r="AA958" i="26"/>
  <c r="AA1184" i="26"/>
  <c r="AA365" i="26"/>
  <c r="AA839" i="26"/>
  <c r="AA813" i="26"/>
  <c r="AA358" i="26"/>
  <c r="AA822" i="26"/>
  <c r="AA441" i="26"/>
  <c r="AA531" i="26"/>
  <c r="AA805" i="26"/>
  <c r="AA281" i="26"/>
  <c r="AA1019" i="26"/>
  <c r="AA342" i="26"/>
  <c r="AA622" i="26"/>
  <c r="AA904" i="26"/>
  <c r="AA535" i="26"/>
  <c r="AA1185" i="26"/>
  <c r="AA475" i="26"/>
  <c r="AA466" i="26"/>
  <c r="AA897" i="26"/>
  <c r="AA457" i="26"/>
  <c r="AA1073" i="26"/>
  <c r="AA411" i="26"/>
  <c r="AA954" i="26"/>
  <c r="AA723" i="26"/>
  <c r="AA620" i="26"/>
  <c r="AA745" i="26"/>
  <c r="AA471" i="26"/>
  <c r="AA387" i="26"/>
  <c r="AA754" i="26"/>
  <c r="AB32" i="24"/>
  <c r="I26" i="22"/>
  <c r="AA299" i="26"/>
  <c r="AA565" i="26"/>
  <c r="AA259" i="26"/>
  <c r="AA657" i="26"/>
  <c r="AA914" i="26"/>
  <c r="AA65" i="26"/>
  <c r="AA484" i="26"/>
  <c r="AA577" i="26"/>
  <c r="AA858" i="26"/>
  <c r="AA1158" i="26"/>
  <c r="AA329" i="26"/>
  <c r="AA779" i="26"/>
  <c r="AA730" i="26"/>
  <c r="AA1150" i="26"/>
  <c r="AA282" i="26"/>
  <c r="AA907" i="26"/>
  <c r="AA962" i="26"/>
  <c r="AA729" i="26"/>
  <c r="AA486" i="26"/>
  <c r="AA1166" i="26"/>
  <c r="AA833" i="26"/>
  <c r="AA543" i="26"/>
  <c r="AA788" i="26"/>
  <c r="AA1044" i="26"/>
  <c r="AA1126" i="26"/>
  <c r="AA144" i="26"/>
  <c r="AA516" i="26"/>
  <c r="AA1118" i="26"/>
  <c r="AA47" i="26"/>
  <c r="AA1038" i="26"/>
  <c r="AA820" i="26"/>
  <c r="AA142" i="26"/>
  <c r="AA20" i="26"/>
  <c r="AA353" i="26"/>
  <c r="AA216" i="26"/>
  <c r="AA662" i="26"/>
  <c r="AA125" i="26"/>
  <c r="AA746" i="26"/>
  <c r="AA464" i="26"/>
  <c r="AA647" i="26"/>
  <c r="AA430" i="26"/>
  <c r="AA391" i="26"/>
  <c r="AA889" i="26"/>
  <c r="AA1090" i="26"/>
  <c r="AA1096" i="26"/>
  <c r="AA888" i="26"/>
  <c r="AA1006" i="26"/>
  <c r="AA319" i="26"/>
  <c r="AA989" i="26"/>
  <c r="AA900" i="26"/>
  <c r="AA294" i="26"/>
  <c r="AA1175" i="26"/>
  <c r="AA986" i="26"/>
  <c r="AA56" i="26"/>
  <c r="AA568" i="26"/>
  <c r="AA95" i="26"/>
  <c r="AA344" i="26"/>
  <c r="AA947" i="26"/>
  <c r="AA239" i="26"/>
  <c r="AA236" i="26"/>
  <c r="AA849" i="26"/>
  <c r="AA1142" i="26"/>
  <c r="AA1067" i="26"/>
  <c r="AA896" i="26"/>
  <c r="AA295" i="26"/>
  <c r="AA697" i="26"/>
  <c r="AA866" i="26"/>
  <c r="AA328" i="26"/>
  <c r="AA73" i="26"/>
  <c r="AA1064" i="26"/>
  <c r="AA436" i="26"/>
  <c r="H16" i="24"/>
  <c r="AB22" i="24"/>
  <c r="H23" i="24"/>
  <c r="AB33" i="24"/>
  <c r="H25" i="24"/>
  <c r="P43" i="24"/>
  <c r="I14" i="15"/>
  <c r="I7" i="15"/>
  <c r="J32" i="22"/>
  <c r="I15" i="22"/>
  <c r="Q30" i="23"/>
  <c r="M12" i="23"/>
  <c r="Q7" i="23"/>
  <c r="N34" i="23"/>
  <c r="Q13" i="23"/>
  <c r="I19" i="24"/>
  <c r="AA1011" i="26"/>
  <c r="AA62" i="26"/>
  <c r="AA1007" i="26"/>
  <c r="AA1029" i="26"/>
  <c r="AA232" i="26"/>
  <c r="AA1071" i="26"/>
  <c r="AA552" i="26"/>
  <c r="AA1013" i="26"/>
  <c r="H34" i="24"/>
  <c r="D22" i="24"/>
  <c r="I25" i="15"/>
  <c r="I29" i="22"/>
  <c r="Q34" i="23"/>
  <c r="AA571" i="26"/>
  <c r="AA150" i="26"/>
  <c r="AA645" i="26"/>
  <c r="AA54" i="26"/>
  <c r="AA462" i="26"/>
  <c r="AA49" i="26"/>
  <c r="AA256" i="26"/>
  <c r="AA846" i="26"/>
  <c r="AA1077" i="26"/>
  <c r="AA949" i="26"/>
  <c r="AA68" i="26"/>
  <c r="AA667" i="26"/>
  <c r="AA506" i="26"/>
  <c r="AA688" i="26"/>
  <c r="AA269" i="26"/>
  <c r="AA265" i="26"/>
  <c r="AA1070" i="26"/>
  <c r="AA280" i="26"/>
  <c r="AA1058" i="26"/>
  <c r="AA395" i="26"/>
  <c r="AA588" i="26"/>
  <c r="AA787" i="26"/>
  <c r="AA1066" i="26"/>
  <c r="AA318" i="26"/>
  <c r="AA1083" i="26"/>
  <c r="AA374" i="26"/>
  <c r="AA413" i="26"/>
  <c r="AA929" i="26"/>
  <c r="AA1180" i="26"/>
  <c r="AA174" i="26"/>
  <c r="AA285" i="26"/>
  <c r="AA263" i="26"/>
  <c r="AA1154" i="26"/>
  <c r="AA1161" i="26"/>
  <c r="AA601" i="26"/>
  <c r="AA274" i="26"/>
  <c r="AA619" i="26"/>
  <c r="AA490" i="26"/>
  <c r="AA964" i="26"/>
  <c r="AA960" i="26"/>
  <c r="AA291" i="26"/>
  <c r="AA828" i="26"/>
  <c r="AA488" i="26"/>
  <c r="AA806" i="26"/>
  <c r="AA976" i="26"/>
  <c r="AA87" i="26"/>
  <c r="AA1147" i="26"/>
  <c r="AA612" i="26"/>
  <c r="AA1028" i="26"/>
  <c r="AA815" i="26"/>
  <c r="AA1139" i="26"/>
  <c r="AA845" i="26"/>
  <c r="AA356" i="26"/>
  <c r="AA1060" i="26"/>
  <c r="AA1008" i="26"/>
  <c r="AA809" i="26"/>
  <c r="AA1129" i="26"/>
  <c r="AA468" i="26"/>
  <c r="AA894" i="26"/>
  <c r="AA623" i="26"/>
  <c r="AA602" i="26"/>
  <c r="AA444" i="26"/>
  <c r="AA30" i="26"/>
  <c r="AA559" i="26"/>
  <c r="AA445" i="26"/>
  <c r="AA924" i="26"/>
  <c r="AA693" i="26"/>
  <c r="AA792" i="26"/>
  <c r="AA925" i="26"/>
  <c r="AA1109" i="26"/>
  <c r="D33" i="24"/>
  <c r="H20" i="24"/>
  <c r="H36" i="24"/>
  <c r="H39" i="24"/>
  <c r="H41" i="24"/>
  <c r="AE22" i="24"/>
  <c r="I28" i="15"/>
  <c r="I29" i="15"/>
  <c r="I25" i="22"/>
  <c r="I8" i="22"/>
  <c r="R32" i="23"/>
  <c r="M32" i="23"/>
  <c r="M9" i="23"/>
  <c r="Q25" i="23"/>
  <c r="I30" i="24"/>
  <c r="AA1130" i="26"/>
  <c r="AA43" i="26"/>
  <c r="AA1128" i="26"/>
  <c r="AA876" i="26"/>
  <c r="AA1192" i="26"/>
  <c r="AA624" i="26"/>
  <c r="AA817" i="26"/>
  <c r="AA86" i="26"/>
  <c r="H13" i="24"/>
  <c r="I12" i="15"/>
  <c r="I7" i="22"/>
  <c r="M8" i="23"/>
  <c r="AA736" i="26"/>
  <c r="AA147" i="26"/>
  <c r="H37" i="24" s="1"/>
  <c r="AA223" i="26"/>
  <c r="AA773" i="26"/>
  <c r="AA883" i="26"/>
  <c r="AA332" i="26"/>
  <c r="AA821" i="26"/>
  <c r="AA742" i="26"/>
  <c r="AA485" i="26"/>
  <c r="AA487" i="26"/>
  <c r="AA801" i="26"/>
  <c r="AA649" i="26"/>
  <c r="AA726" i="26"/>
  <c r="AA597" i="26"/>
  <c r="AA795" i="26"/>
  <c r="AA812" i="26"/>
  <c r="AA658" i="26"/>
  <c r="AA478" i="26"/>
  <c r="AA686" i="26"/>
  <c r="AA167" i="26"/>
  <c r="AA431" i="26"/>
  <c r="AA1177" i="26"/>
  <c r="AA913" i="26"/>
  <c r="AA1119" i="26"/>
  <c r="AA691" i="26"/>
  <c r="AA824" i="26"/>
  <c r="AA1182" i="26"/>
  <c r="AA540" i="26"/>
  <c r="AA15" i="26"/>
  <c r="AA450" i="26"/>
  <c r="AA765" i="26"/>
  <c r="AA48" i="26"/>
  <c r="AA724" i="26"/>
  <c r="AA1102" i="26"/>
  <c r="AA942" i="26"/>
  <c r="AA857" i="26"/>
  <c r="AA102" i="26"/>
  <c r="AA208" i="26"/>
  <c r="AA583" i="26"/>
  <c r="AA1193" i="26"/>
  <c r="AA609" i="26"/>
  <c r="AA655" i="26"/>
  <c r="AA863" i="26"/>
  <c r="AA1103" i="26"/>
  <c r="AA1183" i="26"/>
  <c r="AA28" i="26"/>
  <c r="AA327" i="26"/>
  <c r="AA656" i="26"/>
  <c r="AA794" i="26"/>
  <c r="AA114" i="26"/>
  <c r="AA830" i="26"/>
  <c r="AA721" i="26"/>
  <c r="AA60" i="26"/>
  <c r="AA562" i="26"/>
  <c r="AA528" i="26"/>
  <c r="AA785" i="26"/>
  <c r="AA744" i="26"/>
  <c r="AA97" i="26"/>
  <c r="AA1115" i="26"/>
  <c r="AA755" i="26"/>
  <c r="AA800" i="26"/>
  <c r="AA123" i="26"/>
  <c r="AA708" i="26"/>
  <c r="AA832" i="26"/>
  <c r="AA37" i="26"/>
  <c r="AA518" i="26"/>
  <c r="AA98" i="26"/>
  <c r="AA363" i="26"/>
  <c r="AA841" i="26"/>
  <c r="AA712" i="26"/>
  <c r="T30" i="24"/>
  <c r="H31" i="24"/>
  <c r="H24" i="24"/>
  <c r="AE32" i="24"/>
  <c r="H27" i="24"/>
  <c r="H40" i="24"/>
  <c r="T19" i="24"/>
  <c r="I23" i="15"/>
  <c r="I30" i="15"/>
  <c r="I14" i="22"/>
  <c r="I12" i="22"/>
  <c r="M29" i="23"/>
  <c r="M34" i="23"/>
  <c r="Q26" i="23"/>
  <c r="M15" i="23"/>
  <c r="U19" i="24"/>
  <c r="AA950" i="26"/>
  <c r="AA394" i="26"/>
  <c r="AA759" i="26"/>
  <c r="AA130" i="26"/>
  <c r="AA134" i="26"/>
  <c r="AA118" i="26"/>
  <c r="AA482" i="26"/>
  <c r="AA790" i="26"/>
  <c r="AE33" i="24"/>
  <c r="H38" i="24"/>
  <c r="M24" i="23"/>
  <c r="J28" i="15"/>
  <c r="J26" i="15"/>
  <c r="E29" i="15"/>
  <c r="AK13" i="15"/>
  <c r="J12" i="22"/>
  <c r="U31" i="22"/>
  <c r="J25" i="22"/>
  <c r="M31" i="22"/>
  <c r="E30" i="23"/>
  <c r="N12" i="23"/>
  <c r="N7" i="23"/>
  <c r="N27" i="23"/>
  <c r="S21" i="24"/>
  <c r="S22" i="24"/>
  <c r="AG29" i="15"/>
  <c r="AG13" i="15"/>
  <c r="E14" i="22"/>
  <c r="AS13" i="23"/>
  <c r="G33" i="24"/>
  <c r="AO29" i="15"/>
  <c r="Y29" i="15"/>
  <c r="J24" i="15"/>
  <c r="Q29" i="15"/>
  <c r="AC31" i="22"/>
  <c r="AS14" i="22"/>
  <c r="Q14" i="22"/>
  <c r="AO13" i="23"/>
  <c r="R8" i="23"/>
  <c r="AK30" i="23"/>
  <c r="N10" i="23"/>
  <c r="R24" i="23"/>
  <c r="U26" i="24"/>
  <c r="I39" i="24"/>
  <c r="H33" i="24"/>
  <c r="AC13" i="15"/>
  <c r="J24" i="22"/>
  <c r="AS30" i="23"/>
  <c r="U24" i="24"/>
  <c r="H11" i="24"/>
  <c r="AS13" i="15"/>
  <c r="U29" i="15"/>
  <c r="J12" i="15"/>
  <c r="Q13" i="15"/>
  <c r="J10" i="22"/>
  <c r="AG14" i="22"/>
  <c r="AK14" i="22"/>
  <c r="U30" i="23"/>
  <c r="R12" i="23"/>
  <c r="N8" i="23"/>
  <c r="E13" i="23"/>
  <c r="N24" i="23"/>
  <c r="I12" i="24"/>
  <c r="S43" i="24"/>
  <c r="AC29" i="15"/>
  <c r="E31" i="22"/>
  <c r="R27" i="23"/>
  <c r="AK13" i="23"/>
  <c r="U14" i="24"/>
  <c r="H22" i="24"/>
  <c r="AS29" i="15"/>
  <c r="E9" i="15"/>
  <c r="Y13" i="15"/>
  <c r="M29" i="15"/>
  <c r="AO31" i="22"/>
  <c r="Y14" i="22"/>
  <c r="J27" i="22"/>
  <c r="AC30" i="23"/>
  <c r="R29" i="23"/>
  <c r="N25" i="23"/>
  <c r="AO30" i="23"/>
  <c r="G21" i="24"/>
  <c r="S32" i="24"/>
  <c r="I40" i="24"/>
  <c r="M13" i="15"/>
  <c r="AO14" i="22"/>
  <c r="J7" i="22"/>
  <c r="AG30" i="23"/>
  <c r="G43" i="24"/>
  <c r="H32" i="24"/>
  <c r="J7" i="15"/>
  <c r="U13" i="15"/>
  <c r="J8" i="15"/>
  <c r="AC14" i="22"/>
  <c r="J29" i="22"/>
  <c r="AS31" i="22"/>
  <c r="Y31" i="22"/>
  <c r="AG13" i="23"/>
  <c r="R7" i="23"/>
  <c r="Y13" i="23"/>
  <c r="U13" i="23"/>
  <c r="I23" i="24"/>
  <c r="U13" i="24"/>
  <c r="S33" i="24"/>
  <c r="H21" i="24"/>
  <c r="J8" i="22"/>
  <c r="R25" i="23"/>
  <c r="Y30" i="23"/>
  <c r="H43" i="24"/>
  <c r="J10" i="15"/>
  <c r="J23" i="15"/>
  <c r="E13" i="15"/>
  <c r="M14" i="22"/>
  <c r="Q31" i="22"/>
  <c r="AG31" i="22"/>
  <c r="U14" i="22"/>
  <c r="AC13" i="23"/>
  <c r="I30" i="23"/>
  <c r="R10" i="23"/>
  <c r="I13" i="23"/>
  <c r="G11" i="24"/>
  <c r="S11" i="24"/>
  <c r="AO13" i="15"/>
  <c r="AK29" i="15"/>
  <c r="AK31" i="22"/>
  <c r="N29" i="23"/>
  <c r="G22" i="24"/>
  <c r="O24" i="23" l="1"/>
  <c r="O25" i="23" s="1"/>
  <c r="O26" i="23" s="1"/>
  <c r="O27" i="23" s="1"/>
  <c r="AF33" i="24"/>
  <c r="K23" i="15"/>
  <c r="K24" i="15" s="1"/>
  <c r="K25" i="15" s="1"/>
  <c r="K26" i="15" s="1"/>
  <c r="AF32" i="24"/>
  <c r="K7" i="22"/>
  <c r="K8" i="22" s="1"/>
  <c r="K9" i="22" s="1"/>
  <c r="K10" i="22" s="1"/>
  <c r="AF22" i="24"/>
  <c r="S7" i="23"/>
  <c r="S8" i="23" s="1"/>
  <c r="S9" i="23" s="1"/>
  <c r="S10" i="23" s="1"/>
  <c r="K7" i="15"/>
  <c r="K8" i="15" s="1"/>
  <c r="K9" i="15" s="1"/>
  <c r="K10" i="15" s="1"/>
  <c r="AC33" i="24"/>
  <c r="AC22" i="24"/>
  <c r="AC32" i="24"/>
  <c r="S24" i="23"/>
  <c r="S25" i="23" s="1"/>
  <c r="S26" i="23" s="1"/>
  <c r="S27" i="23" s="1"/>
  <c r="AF11" i="24"/>
  <c r="O7" i="23"/>
  <c r="O8" i="23" s="1"/>
  <c r="O9" i="23" s="1"/>
  <c r="O10" i="23" s="1"/>
  <c r="K24" i="22"/>
  <c r="K25" i="22" s="1"/>
  <c r="K26" i="22" s="1"/>
  <c r="K27" i="22" s="1"/>
  <c r="AC21" i="24"/>
  <c r="AC11" i="24"/>
  <c r="AC43" i="24"/>
  <c r="AF21" i="24"/>
  <c r="AF43" i="24"/>
  <c r="S128" i="24"/>
  <c r="S127" i="24"/>
  <c r="S126" i="24"/>
  <c r="U3" i="24"/>
  <c r="U5" i="24"/>
  <c r="T35" i="24"/>
  <c r="T43" i="24"/>
  <c r="T42" i="24"/>
  <c r="U15" i="24"/>
  <c r="U39" i="24"/>
  <c r="U21" i="24"/>
  <c r="I21" i="24"/>
  <c r="I11" i="24"/>
  <c r="U36" i="24"/>
  <c r="T36" i="24"/>
  <c r="I33" i="24"/>
  <c r="I35" i="24"/>
  <c r="U32" i="24"/>
  <c r="I20" i="24"/>
  <c r="U37" i="24"/>
  <c r="U25" i="24"/>
  <c r="U20" i="24"/>
  <c r="I31" i="24"/>
  <c r="I32" i="24"/>
  <c r="U18" i="24"/>
  <c r="U35" i="24"/>
  <c r="U34" i="24"/>
  <c r="I14" i="24"/>
  <c r="U28" i="24"/>
  <c r="U43" i="24"/>
  <c r="I25" i="24"/>
  <c r="I42" i="24"/>
  <c r="U42" i="24"/>
  <c r="U12" i="24"/>
  <c r="I17" i="24"/>
  <c r="U40" i="24"/>
  <c r="U38" i="24"/>
  <c r="U16" i="24"/>
  <c r="I13" i="24"/>
  <c r="U27" i="24"/>
  <c r="I27" i="24"/>
  <c r="I34" i="24"/>
  <c r="I18" i="24"/>
  <c r="U29" i="24"/>
  <c r="I36" i="24"/>
  <c r="I22" i="24"/>
  <c r="U31" i="24"/>
  <c r="T34" i="24"/>
  <c r="U23" i="24"/>
  <c r="I16" i="24"/>
  <c r="T40" i="24"/>
  <c r="I15" i="24"/>
  <c r="I37" i="24"/>
  <c r="I26" i="24"/>
  <c r="I43" i="24"/>
  <c r="T38" i="24"/>
  <c r="I29" i="24"/>
  <c r="U17" i="24"/>
  <c r="T37" i="24"/>
  <c r="T39" i="24"/>
  <c r="I28" i="24"/>
  <c r="I24" i="24"/>
  <c r="I38" i="24"/>
  <c r="T24" i="23"/>
  <c r="L7" i="22"/>
  <c r="L24" i="22"/>
  <c r="L7" i="15"/>
  <c r="P7" i="23"/>
  <c r="L23" i="15"/>
  <c r="T7" i="23"/>
  <c r="P24" i="23"/>
  <c r="C35" i="23" l="1"/>
  <c r="C33" i="22"/>
  <c r="C16" i="22"/>
  <c r="C31" i="15"/>
  <c r="C16" i="23"/>
  <c r="C15" i="15"/>
  <c r="I115" i="24"/>
  <c r="U115" i="24"/>
  <c r="I116" i="24"/>
  <c r="U116" i="24"/>
  <c r="U117" i="24"/>
  <c r="I117" i="24"/>
  <c r="S115" i="24"/>
  <c r="G115" i="24"/>
  <c r="C30" i="23"/>
  <c r="C29" i="15"/>
  <c r="C13" i="23"/>
  <c r="C13" i="15"/>
  <c r="C31" i="22"/>
  <c r="C14" i="22"/>
  <c r="C36" i="23"/>
  <c r="C26" i="23"/>
  <c r="C17" i="23"/>
  <c r="C26" i="22"/>
  <c r="C9" i="22"/>
  <c r="C9" i="23"/>
  <c r="C34" i="22"/>
  <c r="C17" i="22"/>
  <c r="C9" i="15"/>
  <c r="C16" i="15"/>
  <c r="C25" i="15"/>
  <c r="C32" i="15"/>
  <c r="C11" i="15"/>
  <c r="Z597" i="26"/>
  <c r="Z598" i="26" s="1"/>
  <c r="Z599" i="26" s="1"/>
  <c r="Z600" i="26" s="1"/>
  <c r="Z601" i="26" s="1"/>
  <c r="Z602" i="26" s="1"/>
  <c r="Z603" i="26" s="1"/>
  <c r="Z604" i="26" s="1"/>
  <c r="Z605" i="26" s="1"/>
  <c r="Z606" i="26" s="1"/>
  <c r="Z607" i="26" s="1"/>
  <c r="Z608" i="26" s="1"/>
  <c r="Z609" i="26" s="1"/>
  <c r="Z610" i="26" s="1"/>
  <c r="Z611" i="26" s="1"/>
  <c r="Z612" i="26" s="1"/>
  <c r="Z613" i="26" s="1"/>
  <c r="Z614" i="26" s="1"/>
  <c r="Z615" i="26" s="1"/>
  <c r="Z616" i="26" s="1"/>
  <c r="Z617" i="26" s="1"/>
  <c r="Z618" i="26" s="1"/>
  <c r="Z619" i="26" s="1"/>
  <c r="Z620" i="26" s="1"/>
  <c r="Z621" i="26" s="1"/>
  <c r="Z622" i="26" s="1"/>
  <c r="Z623" i="26" s="1"/>
  <c r="Z624" i="26" s="1"/>
  <c r="Z625" i="26" s="1"/>
  <c r="Z626" i="26" s="1"/>
  <c r="Z627" i="26" s="1"/>
  <c r="Z628" i="26" s="1"/>
  <c r="Z629" i="26" s="1"/>
  <c r="Z630" i="26" s="1"/>
  <c r="Z631" i="26" s="1"/>
  <c r="Z632" i="26" s="1"/>
  <c r="Z633" i="26" s="1"/>
  <c r="Z634" i="26" s="1"/>
  <c r="Z635" i="26" s="1"/>
  <c r="Z636" i="26" s="1"/>
  <c r="Z637" i="26" s="1"/>
  <c r="Z638" i="26" s="1"/>
  <c r="Z639" i="26" s="1"/>
  <c r="Z640" i="26" s="1"/>
  <c r="Z641" i="26" s="1"/>
  <c r="Z642" i="26" s="1"/>
  <c r="Z643" i="26" s="1"/>
  <c r="Z644" i="26" s="1"/>
  <c r="Z645" i="26" s="1"/>
  <c r="Z646" i="26" s="1"/>
  <c r="Z647" i="26" s="1"/>
  <c r="Z648" i="26" s="1"/>
  <c r="Z649" i="26" s="1"/>
  <c r="Z650" i="26" s="1"/>
  <c r="Z651" i="26" s="1"/>
  <c r="Z652" i="26" s="1"/>
  <c r="Z653" i="26" s="1"/>
  <c r="Z654" i="26" s="1"/>
  <c r="Z655" i="26" s="1"/>
  <c r="Z656" i="26" s="1"/>
  <c r="Z657" i="26" s="1"/>
  <c r="Z658" i="26" s="1"/>
  <c r="Z659" i="26" s="1"/>
  <c r="Z660" i="26" s="1"/>
  <c r="Z661" i="26" s="1"/>
  <c r="Z662" i="26" s="1"/>
  <c r="Z663" i="26" s="1"/>
  <c r="Z664" i="26" s="1"/>
  <c r="Z665" i="26" s="1"/>
  <c r="Z666" i="26" s="1"/>
  <c r="Z667" i="26" s="1"/>
  <c r="Z668" i="26" s="1"/>
  <c r="Z669" i="26" s="1"/>
  <c r="Z670" i="26" s="1"/>
  <c r="Z671" i="26" s="1"/>
  <c r="Z672" i="26" s="1"/>
  <c r="Z673" i="26" s="1"/>
  <c r="Z674" i="26" s="1"/>
  <c r="Z675" i="26" s="1"/>
  <c r="Z676" i="26" s="1"/>
  <c r="Z677" i="26" s="1"/>
  <c r="Z678" i="26" s="1"/>
  <c r="Z679" i="26" s="1"/>
  <c r="Z680" i="26" s="1"/>
  <c r="Z681" i="26" s="1"/>
  <c r="Z682" i="26" s="1"/>
  <c r="Z683" i="26" s="1"/>
  <c r="Z684" i="26" s="1"/>
  <c r="Z685" i="26" s="1"/>
  <c r="Z686" i="26" s="1"/>
  <c r="Z687" i="26" s="1"/>
  <c r="Z688" i="26" s="1"/>
  <c r="Z689" i="26" s="1"/>
  <c r="Z690" i="26" s="1"/>
  <c r="Z691" i="26" s="1"/>
  <c r="Z692" i="26" s="1"/>
  <c r="Z693" i="26" s="1"/>
  <c r="Z694" i="26" s="1"/>
  <c r="Z695" i="26" s="1"/>
  <c r="Z696" i="26" s="1"/>
  <c r="Z697" i="26" s="1"/>
  <c r="Z698" i="26" s="1"/>
  <c r="Z699" i="26" s="1"/>
  <c r="Z700" i="26" s="1"/>
  <c r="Z701" i="26" s="1"/>
  <c r="Z702" i="26" s="1"/>
  <c r="Z703" i="26" s="1"/>
  <c r="Z704" i="26" s="1"/>
  <c r="Z705" i="26" s="1"/>
  <c r="Z706" i="26" s="1"/>
  <c r="Z707" i="26" s="1"/>
  <c r="Z708" i="26" s="1"/>
  <c r="Z709" i="26" s="1"/>
  <c r="Z710" i="26" s="1"/>
  <c r="Z711" i="26" s="1"/>
  <c r="Z712" i="26" s="1"/>
  <c r="Z713" i="26" s="1"/>
  <c r="Z714" i="26" s="1"/>
  <c r="Z715" i="26" s="1"/>
  <c r="Z716" i="26" s="1"/>
  <c r="Z717" i="26" s="1"/>
  <c r="Z718" i="26" s="1"/>
  <c r="Z719" i="26" s="1"/>
  <c r="Z720" i="26" s="1"/>
  <c r="Z721" i="26" s="1"/>
  <c r="Z722" i="26" s="1"/>
  <c r="Z723" i="26" s="1"/>
  <c r="Z724" i="26" s="1"/>
  <c r="Z725" i="26" s="1"/>
  <c r="Z726" i="26" s="1"/>
  <c r="Z727" i="26" s="1"/>
  <c r="Z728" i="26" s="1"/>
  <c r="Z729" i="26" s="1"/>
  <c r="Z730" i="26" s="1"/>
  <c r="Z731" i="26" s="1"/>
  <c r="Z732" i="26" s="1"/>
  <c r="Z733" i="26" s="1"/>
  <c r="Z734" i="26" s="1"/>
  <c r="Z735" i="26" s="1"/>
  <c r="Z736" i="26" s="1"/>
  <c r="Z737" i="26" s="1"/>
  <c r="Z738" i="26" s="1"/>
  <c r="Z739" i="26" s="1"/>
  <c r="Z740" i="26" s="1"/>
  <c r="Z741" i="26" s="1"/>
  <c r="Z742" i="26" s="1"/>
  <c r="Z743" i="26" s="1"/>
  <c r="Z744" i="26" s="1"/>
  <c r="Z745" i="26" s="1"/>
  <c r="Z746" i="26" s="1"/>
  <c r="Z747" i="26" s="1"/>
  <c r="Z748" i="26" s="1"/>
  <c r="Z749" i="26" s="1"/>
  <c r="Z750" i="26" s="1"/>
  <c r="Z751" i="26" s="1"/>
  <c r="Z752" i="26" s="1"/>
  <c r="Z753" i="26" s="1"/>
  <c r="Z754" i="26" s="1"/>
  <c r="Z755" i="26" s="1"/>
  <c r="Z756" i="26" s="1"/>
  <c r="Z757" i="26" s="1"/>
  <c r="Z758" i="26" s="1"/>
  <c r="Z759" i="26" s="1"/>
  <c r="Z760" i="26" s="1"/>
  <c r="Z761" i="26" s="1"/>
  <c r="Z762" i="26" s="1"/>
  <c r="Z763" i="26" s="1"/>
  <c r="Z764" i="26" s="1"/>
  <c r="Z765" i="26" s="1"/>
  <c r="Z766" i="26" s="1"/>
  <c r="Z767" i="26" s="1"/>
  <c r="Z768" i="26" s="1"/>
  <c r="Z769" i="26" s="1"/>
  <c r="Z770" i="26" s="1"/>
  <c r="Z771" i="26" s="1"/>
  <c r="Z772" i="26" s="1"/>
  <c r="Z773" i="26" s="1"/>
  <c r="Z774" i="26" s="1"/>
  <c r="Z775" i="26" s="1"/>
  <c r="Z776" i="26" s="1"/>
  <c r="Z777" i="26" s="1"/>
  <c r="Z778" i="26" s="1"/>
  <c r="Z779" i="26" s="1"/>
  <c r="Z780" i="26" s="1"/>
  <c r="Z781" i="26" s="1"/>
  <c r="Z782" i="26" s="1"/>
  <c r="Z783" i="26" s="1"/>
  <c r="Z784" i="26" s="1"/>
  <c r="Z785" i="26" s="1"/>
  <c r="Z786" i="26" s="1"/>
  <c r="Z787" i="26" s="1"/>
  <c r="Z788" i="26" s="1"/>
  <c r="Z789" i="26" s="1"/>
  <c r="Z790" i="26" s="1"/>
  <c r="Z791" i="26" s="1"/>
  <c r="Z792" i="26" s="1"/>
  <c r="Z793" i="26" s="1"/>
  <c r="Z794" i="26" s="1"/>
  <c r="Z795" i="26" s="1"/>
  <c r="Z796" i="26" s="1"/>
  <c r="Z797" i="26" s="1"/>
  <c r="Z798" i="26" s="1"/>
  <c r="Z799" i="26" s="1"/>
  <c r="Z800" i="26" s="1"/>
  <c r="Z801" i="26" s="1"/>
  <c r="Z802" i="26" s="1"/>
  <c r="Z803" i="26" s="1"/>
  <c r="Z804" i="26" s="1"/>
  <c r="Z805" i="26" s="1"/>
  <c r="Z806" i="26" s="1"/>
  <c r="Z807" i="26" s="1"/>
  <c r="Z808" i="26" s="1"/>
  <c r="Z809" i="26" s="1"/>
  <c r="Z810" i="26" s="1"/>
  <c r="Z811" i="26" s="1"/>
  <c r="Z812" i="26" s="1"/>
  <c r="Z813" i="26" s="1"/>
  <c r="Z814" i="26" s="1"/>
  <c r="Z815" i="26" s="1"/>
  <c r="Z816" i="26" s="1"/>
  <c r="Z817" i="26" s="1"/>
  <c r="Z818" i="26" s="1"/>
  <c r="Z819" i="26" s="1"/>
  <c r="Z820" i="26" s="1"/>
  <c r="Z821" i="26" s="1"/>
  <c r="Z822" i="26" s="1"/>
  <c r="Z823" i="26" s="1"/>
  <c r="Z824" i="26" s="1"/>
  <c r="Z825" i="26" s="1"/>
  <c r="Z826" i="26" s="1"/>
  <c r="Z827" i="26" s="1"/>
  <c r="Z828" i="26" s="1"/>
  <c r="Z829" i="26" s="1"/>
  <c r="Z830" i="26" s="1"/>
  <c r="Z831" i="26" s="1"/>
  <c r="Z832" i="26" s="1"/>
  <c r="Z833" i="26" s="1"/>
  <c r="Z834" i="26" s="1"/>
  <c r="Z835" i="26" s="1"/>
  <c r="Z836" i="26" s="1"/>
  <c r="Z837" i="26" s="1"/>
  <c r="Z838" i="26" s="1"/>
  <c r="Z839" i="26" s="1"/>
  <c r="Z840" i="26" s="1"/>
  <c r="Z841" i="26" s="1"/>
  <c r="Z842" i="26" s="1"/>
  <c r="Z843" i="26" s="1"/>
  <c r="Z844" i="26" s="1"/>
  <c r="Z845" i="26" s="1"/>
  <c r="Z846" i="26" s="1"/>
  <c r="Z847" i="26" s="1"/>
  <c r="Z848" i="26" s="1"/>
  <c r="Z849" i="26" s="1"/>
  <c r="Z850" i="26" s="1"/>
  <c r="Z851" i="26" s="1"/>
  <c r="Z852" i="26" s="1"/>
  <c r="Z853" i="26" s="1"/>
  <c r="Z854" i="26" s="1"/>
  <c r="Z855" i="26" s="1"/>
  <c r="Z856" i="26" s="1"/>
  <c r="Z857" i="26" s="1"/>
  <c r="Z858" i="26" s="1"/>
  <c r="Z859" i="26" s="1"/>
  <c r="Z860" i="26" s="1"/>
  <c r="Z861" i="26" s="1"/>
  <c r="Z862" i="26" s="1"/>
  <c r="Z863" i="26" s="1"/>
  <c r="Z864" i="26" s="1"/>
  <c r="Z865" i="26" s="1"/>
  <c r="Z866" i="26" s="1"/>
  <c r="Z867" i="26" s="1"/>
  <c r="Z868" i="26" s="1"/>
  <c r="Z869" i="26" s="1"/>
  <c r="Z870" i="26" s="1"/>
  <c r="Z871" i="26" s="1"/>
  <c r="Z872" i="26" s="1"/>
  <c r="Z873" i="26" s="1"/>
  <c r="Z874" i="26" s="1"/>
  <c r="Z875" i="26" s="1"/>
  <c r="Z876" i="26" s="1"/>
  <c r="Z877" i="26" s="1"/>
  <c r="Z878" i="26" s="1"/>
  <c r="Z879" i="26" s="1"/>
  <c r="Z880" i="26" s="1"/>
  <c r="Z881" i="26" s="1"/>
  <c r="Z882" i="26" s="1"/>
  <c r="Z883" i="26" s="1"/>
  <c r="Z884" i="26" s="1"/>
  <c r="Z885" i="26" s="1"/>
  <c r="Z886" i="26" s="1"/>
  <c r="Z887" i="26" s="1"/>
  <c r="Z888" i="26" s="1"/>
  <c r="Z889" i="26" s="1"/>
  <c r="Z890" i="26" s="1"/>
  <c r="Z891" i="26" s="1"/>
  <c r="Z892" i="26" s="1"/>
  <c r="Z893" i="26" s="1"/>
  <c r="Z894" i="26" s="1"/>
  <c r="Z895" i="26" s="1"/>
  <c r="Z896" i="26" s="1"/>
  <c r="Z897" i="26" s="1"/>
  <c r="Z898" i="26" s="1"/>
  <c r="Z899" i="26" s="1"/>
  <c r="Z900" i="26" s="1"/>
  <c r="Z901" i="26" s="1"/>
  <c r="Z902" i="26" s="1"/>
  <c r="Z903" i="26" s="1"/>
  <c r="Z904" i="26" s="1"/>
  <c r="Z905" i="26" s="1"/>
  <c r="Z906" i="26" s="1"/>
  <c r="Z907" i="26" s="1"/>
  <c r="Z908" i="26" s="1"/>
  <c r="Z909" i="26" s="1"/>
  <c r="Z910" i="26" s="1"/>
  <c r="Z911" i="26" s="1"/>
  <c r="Z912" i="26" s="1"/>
  <c r="Z913" i="26" s="1"/>
  <c r="Z914" i="26" s="1"/>
  <c r="Z915" i="26" s="1"/>
  <c r="Z916" i="26" s="1"/>
  <c r="Z917" i="26" s="1"/>
  <c r="Z918" i="26" s="1"/>
  <c r="Z919" i="26" s="1"/>
  <c r="Z920" i="26" s="1"/>
  <c r="Z921" i="26" s="1"/>
  <c r="Z922" i="26" s="1"/>
  <c r="Z923" i="26" s="1"/>
  <c r="Z924" i="26" s="1"/>
  <c r="Z925" i="26" s="1"/>
  <c r="Z926" i="26" s="1"/>
  <c r="Z927" i="26" s="1"/>
  <c r="Z928" i="26" s="1"/>
  <c r="Z929" i="26" s="1"/>
  <c r="Z930" i="26" s="1"/>
  <c r="Z931" i="26" s="1"/>
  <c r="Z932" i="26" s="1"/>
  <c r="Z933" i="26" s="1"/>
  <c r="Z934" i="26" s="1"/>
  <c r="Z935" i="26" s="1"/>
  <c r="Z936" i="26" s="1"/>
  <c r="Z937" i="26" s="1"/>
  <c r="Z938" i="26" s="1"/>
  <c r="Z939" i="26" s="1"/>
  <c r="Z940" i="26" s="1"/>
  <c r="Z941" i="26" s="1"/>
  <c r="Z942" i="26" s="1"/>
  <c r="Z943" i="26" s="1"/>
  <c r="Z944" i="26" s="1"/>
  <c r="Z945" i="26" s="1"/>
  <c r="Z946" i="26" s="1"/>
  <c r="Z947" i="26" s="1"/>
  <c r="Z948" i="26" s="1"/>
  <c r="Z949" i="26" s="1"/>
  <c r="Z950" i="26" s="1"/>
  <c r="Z951" i="26" s="1"/>
  <c r="Z952" i="26" s="1"/>
  <c r="Z953" i="26" s="1"/>
  <c r="Z954" i="26" s="1"/>
  <c r="Z955" i="26" s="1"/>
  <c r="Z956" i="26" s="1"/>
  <c r="Z957" i="26" s="1"/>
  <c r="Z958" i="26" s="1"/>
  <c r="Z959" i="26" s="1"/>
  <c r="Z960" i="26" s="1"/>
  <c r="Z961" i="26" s="1"/>
  <c r="Z962" i="26" s="1"/>
  <c r="Z963" i="26" s="1"/>
  <c r="Z964" i="26" s="1"/>
  <c r="Z965" i="26" s="1"/>
  <c r="Z966" i="26" s="1"/>
  <c r="Z967" i="26" s="1"/>
  <c r="Z968" i="26" s="1"/>
  <c r="Z969" i="26" s="1"/>
  <c r="Z970" i="26" s="1"/>
  <c r="Z971" i="26" s="1"/>
  <c r="Z972" i="26" s="1"/>
  <c r="Z973" i="26" s="1"/>
  <c r="Z974" i="26" s="1"/>
  <c r="Z975" i="26" s="1"/>
  <c r="Z976" i="26" s="1"/>
  <c r="Z977" i="26" s="1"/>
  <c r="Z978" i="26" s="1"/>
  <c r="Z979" i="26" s="1"/>
  <c r="Z980" i="26" s="1"/>
  <c r="Z981" i="26" s="1"/>
  <c r="Z982" i="26" s="1"/>
  <c r="Z983" i="26" s="1"/>
  <c r="Z984" i="26" s="1"/>
  <c r="Z985" i="26" s="1"/>
  <c r="Z986" i="26" s="1"/>
  <c r="Z987" i="26" s="1"/>
  <c r="Z988" i="26" s="1"/>
  <c r="Z989" i="26" s="1"/>
  <c r="Z990" i="26" s="1"/>
  <c r="Z991" i="26" s="1"/>
  <c r="Z992" i="26" s="1"/>
  <c r="Z993" i="26" s="1"/>
  <c r="Z994" i="26" s="1"/>
  <c r="Z995" i="26" s="1"/>
  <c r="Z996" i="26" s="1"/>
  <c r="Z997" i="26" s="1"/>
  <c r="Z998" i="26" s="1"/>
  <c r="Z999" i="26" s="1"/>
  <c r="Z1000" i="26" s="1"/>
  <c r="Z1001" i="26" s="1"/>
  <c r="Z1002" i="26" s="1"/>
  <c r="Z1003" i="26" s="1"/>
  <c r="Z1004" i="26" s="1"/>
  <c r="Z1005" i="26" s="1"/>
  <c r="Z1006" i="26" s="1"/>
  <c r="Z1007" i="26" s="1"/>
  <c r="Z1008" i="26" s="1"/>
  <c r="Z1009" i="26" s="1"/>
  <c r="Z1010" i="26" s="1"/>
  <c r="Z1011" i="26" s="1"/>
  <c r="Z1012" i="26" s="1"/>
  <c r="Z1013" i="26" s="1"/>
  <c r="Z1014" i="26" s="1"/>
  <c r="Z1015" i="26" s="1"/>
  <c r="Z1016" i="26" s="1"/>
  <c r="Z1017" i="26" s="1"/>
  <c r="Z1018" i="26" s="1"/>
  <c r="Z1019" i="26" s="1"/>
  <c r="Z1020" i="26" s="1"/>
  <c r="Z1021" i="26" s="1"/>
  <c r="Z1022" i="26" s="1"/>
  <c r="Z1023" i="26" s="1"/>
  <c r="Z1024" i="26" s="1"/>
  <c r="Z1025" i="26" s="1"/>
  <c r="Z1026" i="26" s="1"/>
  <c r="Z1027" i="26" s="1"/>
  <c r="Z1028" i="26" s="1"/>
  <c r="Z1029" i="26" s="1"/>
  <c r="Z1030" i="26" s="1"/>
  <c r="Z1031" i="26" s="1"/>
  <c r="Z1032" i="26" s="1"/>
  <c r="Z1033" i="26" s="1"/>
  <c r="Z1034" i="26" s="1"/>
  <c r="Z1035" i="26" s="1"/>
  <c r="Z1036" i="26" s="1"/>
  <c r="Z1037" i="26" s="1"/>
  <c r="Z1038" i="26" s="1"/>
  <c r="Z1039" i="26" s="1"/>
  <c r="Z1040" i="26" s="1"/>
  <c r="Z1041" i="26" s="1"/>
  <c r="Z1042" i="26" s="1"/>
  <c r="Z1043" i="26" s="1"/>
  <c r="Z1044" i="26" s="1"/>
  <c r="Z1045" i="26" s="1"/>
  <c r="Z1046" i="26" s="1"/>
  <c r="Z1047" i="26" s="1"/>
  <c r="Z1048" i="26" s="1"/>
  <c r="Z1049" i="26" s="1"/>
  <c r="Z1050" i="26" s="1"/>
  <c r="Z1051" i="26" s="1"/>
  <c r="Z1052" i="26" s="1"/>
  <c r="Z1053" i="26" s="1"/>
  <c r="Z1054" i="26" s="1"/>
  <c r="Z1055" i="26" s="1"/>
  <c r="Z1056" i="26" s="1"/>
  <c r="Z1057" i="26" s="1"/>
  <c r="Z1058" i="26" s="1"/>
  <c r="Z1059" i="26" s="1"/>
  <c r="Z1060" i="26" s="1"/>
  <c r="Z1061" i="26" s="1"/>
  <c r="Z1062" i="26" s="1"/>
  <c r="Z1063" i="26" s="1"/>
  <c r="Z1064" i="26" s="1"/>
  <c r="Z1065" i="26" s="1"/>
  <c r="Z1066" i="26" s="1"/>
  <c r="Z1067" i="26" s="1"/>
  <c r="Z1068" i="26" s="1"/>
  <c r="Z1069" i="26" s="1"/>
  <c r="Z1070" i="26" s="1"/>
  <c r="Z1071" i="26" s="1"/>
  <c r="Z1072" i="26" s="1"/>
  <c r="Z1073" i="26" s="1"/>
  <c r="Z1074" i="26" s="1"/>
  <c r="Z1075" i="26" s="1"/>
  <c r="Z1076" i="26" s="1"/>
  <c r="Z1077" i="26" s="1"/>
  <c r="Z1078" i="26" s="1"/>
  <c r="Z1079" i="26" s="1"/>
  <c r="Z1080" i="26" s="1"/>
  <c r="Z1081" i="26" s="1"/>
  <c r="Z1082" i="26" s="1"/>
  <c r="Z1083" i="26" s="1"/>
  <c r="Z1084" i="26" s="1"/>
  <c r="Z1085" i="26" s="1"/>
  <c r="Z1086" i="26" s="1"/>
  <c r="Z1087" i="26" s="1"/>
  <c r="Z1088" i="26" s="1"/>
  <c r="Z1089" i="26" s="1"/>
  <c r="Z1090" i="26" s="1"/>
  <c r="Z1091" i="26" s="1"/>
  <c r="Z1092" i="26" s="1"/>
  <c r="Z1093" i="26" s="1"/>
  <c r="Z1094" i="26" s="1"/>
  <c r="Z1095" i="26" s="1"/>
  <c r="Z1096" i="26" s="1"/>
  <c r="Z1097" i="26" s="1"/>
  <c r="Z1098" i="26" s="1"/>
  <c r="Z1099" i="26" s="1"/>
  <c r="Z1100" i="26" s="1"/>
  <c r="Z1101" i="26" s="1"/>
  <c r="Z1102" i="26" s="1"/>
  <c r="Z1103" i="26" s="1"/>
  <c r="Z1104" i="26" s="1"/>
  <c r="Z1105" i="26" s="1"/>
  <c r="Z1106" i="26" s="1"/>
  <c r="Z1107" i="26" s="1"/>
  <c r="Z1108" i="26" s="1"/>
  <c r="Z1109" i="26" s="1"/>
  <c r="Z1110" i="26" s="1"/>
  <c r="Z1111" i="26" s="1"/>
  <c r="Z1112" i="26" s="1"/>
  <c r="Z1113" i="26" s="1"/>
  <c r="Z1114" i="26" s="1"/>
  <c r="Z1115" i="26" s="1"/>
  <c r="Z1116" i="26" s="1"/>
  <c r="Z1117" i="26" s="1"/>
  <c r="Z1118" i="26" s="1"/>
  <c r="Z1119" i="26" s="1"/>
  <c r="Z1120" i="26" s="1"/>
  <c r="Z1121" i="26" s="1"/>
  <c r="Z1122" i="26" s="1"/>
  <c r="Z1123" i="26" s="1"/>
  <c r="Z1124" i="26" s="1"/>
  <c r="Z1125" i="26" s="1"/>
  <c r="Z1126" i="26" s="1"/>
  <c r="Z1127" i="26" s="1"/>
  <c r="Z1128" i="26" s="1"/>
  <c r="Z1129" i="26" s="1"/>
  <c r="Z1130" i="26" s="1"/>
  <c r="Z1131" i="26" s="1"/>
  <c r="Z1132" i="26" s="1"/>
  <c r="Z1133" i="26" s="1"/>
  <c r="Z1134" i="26" s="1"/>
  <c r="Z1135" i="26" s="1"/>
  <c r="Z1136" i="26" s="1"/>
  <c r="Z1137" i="26" s="1"/>
  <c r="Z1138" i="26" s="1"/>
  <c r="Z1139" i="26" s="1"/>
  <c r="Z1140" i="26" s="1"/>
  <c r="Z1141" i="26" s="1"/>
  <c r="Z1142" i="26" s="1"/>
  <c r="Z1143" i="26" s="1"/>
  <c r="Z1144" i="26" s="1"/>
  <c r="Z1145" i="26" s="1"/>
  <c r="Z1146" i="26" s="1"/>
  <c r="Z1147" i="26" s="1"/>
  <c r="Z1148" i="26" s="1"/>
  <c r="Z1149" i="26" s="1"/>
  <c r="Z1150" i="26" s="1"/>
  <c r="Z1151" i="26" s="1"/>
  <c r="Z1152" i="26" s="1"/>
  <c r="Z1153" i="26" s="1"/>
  <c r="Z1154" i="26" s="1"/>
  <c r="Z1155" i="26" s="1"/>
  <c r="Z1156" i="26" s="1"/>
  <c r="Z1157" i="26" s="1"/>
  <c r="Z1158" i="26" s="1"/>
  <c r="Z1159" i="26" s="1"/>
  <c r="Z1160" i="26" s="1"/>
  <c r="Z1161" i="26" s="1"/>
  <c r="Z1162" i="26" s="1"/>
  <c r="Z1163" i="26" s="1"/>
  <c r="Z1164" i="26" s="1"/>
  <c r="Z1165" i="26" s="1"/>
  <c r="Z1166" i="26" s="1"/>
  <c r="Z1167" i="26" s="1"/>
  <c r="Z1168" i="26" s="1"/>
  <c r="Z1169" i="26" s="1"/>
  <c r="Z1170" i="26" s="1"/>
  <c r="Z1171" i="26" s="1"/>
  <c r="Z1172" i="26" s="1"/>
  <c r="Z1173" i="26" s="1"/>
  <c r="Z1174" i="26" s="1"/>
  <c r="Z1175" i="26" s="1"/>
  <c r="Z1176" i="26" s="1"/>
  <c r="Z1177" i="26" s="1"/>
  <c r="Z1178" i="26" s="1"/>
  <c r="Z1179" i="26" s="1"/>
  <c r="Z1180" i="26" s="1"/>
  <c r="Z1181" i="26" s="1"/>
  <c r="Z1182" i="26" s="1"/>
  <c r="Z1183" i="26" s="1"/>
  <c r="Z1184" i="26" s="1"/>
  <c r="Z1185" i="26" s="1"/>
  <c r="Z1186" i="26" s="1"/>
  <c r="Z1187" i="26" s="1"/>
  <c r="Z1188" i="26" s="1"/>
  <c r="Z1189" i="26" s="1"/>
  <c r="Z1190" i="26" s="1"/>
  <c r="Z1191" i="26" s="1"/>
  <c r="Z1192" i="26" s="1"/>
  <c r="Z1193" i="26" s="1"/>
  <c r="Z1194" i="26" s="1"/>
  <c r="Z1195" i="26" s="1"/>
  <c r="Z1196" i="26" s="1"/>
  <c r="Z7" i="26"/>
  <c r="Z8" i="26" s="1"/>
  <c r="Z9" i="26" s="1"/>
  <c r="Z10" i="26" s="1"/>
  <c r="Z11" i="26" s="1"/>
  <c r="Z12" i="26" s="1"/>
  <c r="Z13" i="26" s="1"/>
  <c r="Z14" i="26" s="1"/>
  <c r="Z15" i="26" s="1"/>
  <c r="Z16" i="26" s="1"/>
  <c r="Z17" i="26" s="1"/>
  <c r="Z18" i="26" s="1"/>
  <c r="Z19" i="26" s="1"/>
  <c r="Z20" i="26" s="1"/>
  <c r="Z21" i="26" s="1"/>
  <c r="Z22" i="26" s="1"/>
  <c r="Z23" i="26" s="1"/>
  <c r="Z24" i="26" s="1"/>
  <c r="Z25" i="26" s="1"/>
  <c r="Z26" i="26" s="1"/>
  <c r="Z27" i="26" s="1"/>
  <c r="Z28" i="26" s="1"/>
  <c r="Z29" i="26" s="1"/>
  <c r="Z30" i="26" s="1"/>
  <c r="Z31" i="26" s="1"/>
  <c r="Z32" i="26" s="1"/>
  <c r="Z33" i="26" s="1"/>
  <c r="Z34" i="26" s="1"/>
  <c r="Z35" i="26" s="1"/>
  <c r="Z36" i="26" s="1"/>
  <c r="Z37" i="26" s="1"/>
  <c r="Z38" i="26" s="1"/>
  <c r="Z39" i="26" s="1"/>
  <c r="Z40" i="26" s="1"/>
  <c r="Z41" i="26" s="1"/>
  <c r="Z42" i="26" s="1"/>
  <c r="Z43" i="26" s="1"/>
  <c r="Z44" i="26" s="1"/>
  <c r="Z45" i="26" s="1"/>
  <c r="Z46" i="26" s="1"/>
  <c r="Z47" i="26" s="1"/>
  <c r="Z48" i="26" s="1"/>
  <c r="Z49" i="26" s="1"/>
  <c r="Z50" i="26" s="1"/>
  <c r="Z51" i="26" s="1"/>
  <c r="Z52" i="26" s="1"/>
  <c r="Z53" i="26" s="1"/>
  <c r="Z54" i="26" s="1"/>
  <c r="Z55" i="26" s="1"/>
  <c r="Z56" i="26" s="1"/>
  <c r="Z57" i="26" s="1"/>
  <c r="Z58" i="26" s="1"/>
  <c r="Z59" i="26" s="1"/>
  <c r="Z60" i="26" s="1"/>
  <c r="Z61" i="26" s="1"/>
  <c r="Z62" i="26" s="1"/>
  <c r="Z63" i="26" s="1"/>
  <c r="Z64" i="26" s="1"/>
  <c r="Z65" i="26" s="1"/>
  <c r="Z66" i="26" s="1"/>
  <c r="Z67" i="26" s="1"/>
  <c r="Z68" i="26" s="1"/>
  <c r="Z69" i="26" s="1"/>
  <c r="Z70" i="26" s="1"/>
  <c r="Z71" i="26" s="1"/>
  <c r="Z72" i="26" s="1"/>
  <c r="Z73" i="26" s="1"/>
  <c r="Z74" i="26" s="1"/>
  <c r="Z75" i="26" s="1"/>
  <c r="Z76" i="26" s="1"/>
  <c r="Z77" i="26" s="1"/>
  <c r="Z78" i="26" s="1"/>
  <c r="Z79" i="26" s="1"/>
  <c r="Z80" i="26" s="1"/>
  <c r="Z81" i="26" s="1"/>
  <c r="Z82" i="26" s="1"/>
  <c r="Z83" i="26" s="1"/>
  <c r="Z84" i="26" s="1"/>
  <c r="Z85" i="26" s="1"/>
  <c r="Z86" i="26" s="1"/>
  <c r="Z87" i="26" s="1"/>
  <c r="Z88" i="26" s="1"/>
  <c r="Z89" i="26" s="1"/>
  <c r="Z90" i="26" s="1"/>
  <c r="Z91" i="26" s="1"/>
  <c r="Z92" i="26" s="1"/>
  <c r="Z93" i="26" s="1"/>
  <c r="Z94" i="26" s="1"/>
  <c r="Z95" i="26" s="1"/>
  <c r="Z96" i="26" s="1"/>
  <c r="Z97" i="26" s="1"/>
  <c r="Z98" i="26" s="1"/>
  <c r="Z99" i="26" s="1"/>
  <c r="Z100" i="26" s="1"/>
  <c r="Z101" i="26" s="1"/>
  <c r="Z102" i="26" s="1"/>
  <c r="Z103" i="26" s="1"/>
  <c r="Z104" i="26" s="1"/>
  <c r="Z105" i="26" s="1"/>
  <c r="Z106" i="26" s="1"/>
  <c r="Z107" i="26" s="1"/>
  <c r="Z108" i="26" s="1"/>
  <c r="Z109" i="26" s="1"/>
  <c r="Z110" i="26" s="1"/>
  <c r="Z111" i="26" s="1"/>
  <c r="Z112" i="26" s="1"/>
  <c r="Z113" i="26" s="1"/>
  <c r="Z114" i="26" s="1"/>
  <c r="Z115" i="26" s="1"/>
  <c r="Z116" i="26" s="1"/>
  <c r="Z117" i="26" s="1"/>
  <c r="Z118" i="26" s="1"/>
  <c r="Z119" i="26" s="1"/>
  <c r="Z120" i="26" s="1"/>
  <c r="Z121" i="26" s="1"/>
  <c r="Z122" i="26" s="1"/>
  <c r="Z123" i="26" s="1"/>
  <c r="Z124" i="26" s="1"/>
  <c r="Z125" i="26" s="1"/>
  <c r="Z126" i="26" s="1"/>
  <c r="Z127" i="26" s="1"/>
  <c r="Z128" i="26" s="1"/>
  <c r="Z129" i="26" s="1"/>
  <c r="Z130" i="26" s="1"/>
  <c r="Z131" i="26" s="1"/>
  <c r="Z132" i="26" s="1"/>
  <c r="Z133" i="26" s="1"/>
  <c r="Z134" i="26" s="1"/>
  <c r="Z135" i="26" s="1"/>
  <c r="Z136" i="26" s="1"/>
  <c r="Z137" i="26" s="1"/>
  <c r="Z138" i="26" s="1"/>
  <c r="Z139" i="26" s="1"/>
  <c r="Z140" i="26" s="1"/>
  <c r="Z141" i="26" s="1"/>
  <c r="Z142" i="26" s="1"/>
  <c r="Z143" i="26" s="1"/>
  <c r="Z144" i="26" s="1"/>
  <c r="Z145" i="26" s="1"/>
  <c r="Z146" i="26" s="1"/>
  <c r="Z147" i="26" s="1"/>
  <c r="Z148" i="26" s="1"/>
  <c r="Z149" i="26" s="1"/>
  <c r="Z150" i="26" s="1"/>
  <c r="Z151" i="26" s="1"/>
  <c r="Z152" i="26" s="1"/>
  <c r="Z153" i="26" s="1"/>
  <c r="Z154" i="26" s="1"/>
  <c r="Z155" i="26" s="1"/>
  <c r="Z156" i="26" s="1"/>
  <c r="Z157" i="26" s="1"/>
  <c r="Z158" i="26" s="1"/>
  <c r="Z159" i="26" s="1"/>
  <c r="Z160" i="26" s="1"/>
  <c r="Z161" i="26" s="1"/>
  <c r="Z162" i="26" s="1"/>
  <c r="Z163" i="26" s="1"/>
  <c r="Z164" i="26" s="1"/>
  <c r="Z165" i="26" s="1"/>
  <c r="Z166" i="26" s="1"/>
  <c r="Z167" i="26" s="1"/>
  <c r="Z168" i="26" s="1"/>
  <c r="Z169" i="26" s="1"/>
  <c r="Z170" i="26" s="1"/>
  <c r="Z171" i="26" s="1"/>
  <c r="Z172" i="26" s="1"/>
  <c r="Z173" i="26" s="1"/>
  <c r="Z174" i="26" s="1"/>
  <c r="Z175" i="26" s="1"/>
  <c r="Z176" i="26" s="1"/>
  <c r="Z177" i="26" s="1"/>
  <c r="Z178" i="26" s="1"/>
  <c r="Z179" i="26" s="1"/>
  <c r="Z180" i="26" s="1"/>
  <c r="Z181" i="26" s="1"/>
  <c r="Z182" i="26" s="1"/>
  <c r="Z183" i="26" s="1"/>
  <c r="Z184" i="26" s="1"/>
  <c r="Z185" i="26" s="1"/>
  <c r="Z186" i="26" s="1"/>
  <c r="Z187" i="26" s="1"/>
  <c r="Z188" i="26" s="1"/>
  <c r="Z189" i="26" s="1"/>
  <c r="Z190" i="26" s="1"/>
  <c r="Z191" i="26" s="1"/>
  <c r="Z192" i="26" s="1"/>
  <c r="Z193" i="26" s="1"/>
  <c r="Z194" i="26" s="1"/>
  <c r="Z195" i="26" s="1"/>
  <c r="Z196" i="26" s="1"/>
  <c r="Z197" i="26" s="1"/>
  <c r="Z198" i="26" s="1"/>
  <c r="Z199" i="26" s="1"/>
  <c r="Z200" i="26" s="1"/>
  <c r="Z201" i="26" s="1"/>
  <c r="Z202" i="26" s="1"/>
  <c r="Z203" i="26" s="1"/>
  <c r="Z204" i="26" s="1"/>
  <c r="Z205" i="26" s="1"/>
  <c r="Z206" i="26" s="1"/>
  <c r="Z207" i="26" s="1"/>
  <c r="Z208" i="26" s="1"/>
  <c r="Z209" i="26" s="1"/>
  <c r="Z210" i="26" s="1"/>
  <c r="Z211" i="26" s="1"/>
  <c r="Z212" i="26" s="1"/>
  <c r="Z213" i="26" s="1"/>
  <c r="Z214" i="26" s="1"/>
  <c r="Z215" i="26" s="1"/>
  <c r="Z216" i="26" s="1"/>
  <c r="Z217" i="26" s="1"/>
  <c r="Z218" i="26" s="1"/>
  <c r="Z219" i="26" s="1"/>
  <c r="Z220" i="26" s="1"/>
  <c r="Z221" i="26" s="1"/>
  <c r="Z222" i="26" s="1"/>
  <c r="Z223" i="26" s="1"/>
  <c r="Z224" i="26" s="1"/>
  <c r="Z225" i="26" s="1"/>
  <c r="Z226" i="26" s="1"/>
  <c r="Z227" i="26" s="1"/>
  <c r="Z228" i="26" s="1"/>
  <c r="Z229" i="26" s="1"/>
  <c r="Z230" i="26" s="1"/>
  <c r="Z231" i="26" s="1"/>
  <c r="Z232" i="26" s="1"/>
  <c r="Z233" i="26" s="1"/>
  <c r="Z234" i="26" s="1"/>
  <c r="Z235" i="26" s="1"/>
  <c r="Z236" i="26" s="1"/>
  <c r="Z237" i="26" s="1"/>
  <c r="Z238" i="26" s="1"/>
  <c r="Z239" i="26" s="1"/>
  <c r="Z240" i="26" s="1"/>
  <c r="Z241" i="26" s="1"/>
  <c r="Z242" i="26" s="1"/>
  <c r="Z243" i="26" s="1"/>
  <c r="Z244" i="26" s="1"/>
  <c r="Z245" i="26" s="1"/>
  <c r="Z246" i="26" s="1"/>
  <c r="Z247" i="26" s="1"/>
  <c r="Z248" i="26" s="1"/>
  <c r="Z249" i="26" s="1"/>
  <c r="Z250" i="26" s="1"/>
  <c r="Z251" i="26" s="1"/>
  <c r="Z252" i="26" s="1"/>
  <c r="Z253" i="26" s="1"/>
  <c r="Z254" i="26" s="1"/>
  <c r="Z255" i="26" s="1"/>
  <c r="Z256" i="26" s="1"/>
  <c r="Z257" i="26" s="1"/>
  <c r="Z258" i="26" s="1"/>
  <c r="Z259" i="26" s="1"/>
  <c r="Z260" i="26" s="1"/>
  <c r="Z261" i="26" s="1"/>
  <c r="Z262" i="26" s="1"/>
  <c r="Z263" i="26" s="1"/>
  <c r="Z264" i="26" s="1"/>
  <c r="Z265" i="26" s="1"/>
  <c r="Z266" i="26" s="1"/>
  <c r="Z267" i="26" s="1"/>
  <c r="Z268" i="26" s="1"/>
  <c r="Z269" i="26" s="1"/>
  <c r="Z270" i="26" s="1"/>
  <c r="Z271" i="26" s="1"/>
  <c r="Z272" i="26" s="1"/>
  <c r="Z273" i="26" s="1"/>
  <c r="Z274" i="26" s="1"/>
  <c r="Z275" i="26" s="1"/>
  <c r="Z276" i="26" s="1"/>
  <c r="Z277" i="26" s="1"/>
  <c r="Z278" i="26" s="1"/>
  <c r="Z279" i="26" s="1"/>
  <c r="Z280" i="26" s="1"/>
  <c r="Z281" i="26" s="1"/>
  <c r="Z282" i="26" s="1"/>
  <c r="Z283" i="26" s="1"/>
  <c r="Z284" i="26" s="1"/>
  <c r="Z285" i="26" s="1"/>
  <c r="Z286" i="26" s="1"/>
  <c r="Z287" i="26" s="1"/>
  <c r="Z288" i="26" s="1"/>
  <c r="Z289" i="26" s="1"/>
  <c r="Z290" i="26" s="1"/>
  <c r="Z291" i="26" s="1"/>
  <c r="Z292" i="26" s="1"/>
  <c r="Z293" i="26" s="1"/>
  <c r="Z294" i="26" s="1"/>
  <c r="Z295" i="26" s="1"/>
  <c r="Z296" i="26" s="1"/>
  <c r="Z297" i="26" s="1"/>
  <c r="Z298" i="26" s="1"/>
  <c r="Z299" i="26" s="1"/>
  <c r="Z300" i="26" s="1"/>
  <c r="Z301" i="26" s="1"/>
  <c r="Z302" i="26" s="1"/>
  <c r="Z303" i="26" s="1"/>
  <c r="Z304" i="26" s="1"/>
  <c r="Z305" i="26" s="1"/>
  <c r="Z306" i="26" s="1"/>
  <c r="Z307" i="26" s="1"/>
  <c r="Z308" i="26" s="1"/>
  <c r="Z309" i="26" s="1"/>
  <c r="Z310" i="26" s="1"/>
  <c r="Z311" i="26" s="1"/>
  <c r="Z312" i="26" s="1"/>
  <c r="Z313" i="26" s="1"/>
  <c r="Z314" i="26" s="1"/>
  <c r="Z315" i="26" s="1"/>
  <c r="Z316" i="26" s="1"/>
  <c r="Z317" i="26" s="1"/>
  <c r="Z318" i="26" s="1"/>
  <c r="Z319" i="26" s="1"/>
  <c r="Z320" i="26" s="1"/>
  <c r="Z321" i="26" s="1"/>
  <c r="Z322" i="26" s="1"/>
  <c r="Z323" i="26" s="1"/>
  <c r="Z324" i="26" s="1"/>
  <c r="Z325" i="26" s="1"/>
  <c r="Z326" i="26" s="1"/>
  <c r="Z327" i="26" s="1"/>
  <c r="Z328" i="26" s="1"/>
  <c r="Z329" i="26" s="1"/>
  <c r="Z330" i="26" s="1"/>
  <c r="Z331" i="26" s="1"/>
  <c r="Z332" i="26" s="1"/>
  <c r="Z333" i="26" s="1"/>
  <c r="Z334" i="26" s="1"/>
  <c r="Z335" i="26" s="1"/>
  <c r="Z336" i="26" s="1"/>
  <c r="Z337" i="26" s="1"/>
  <c r="Z338" i="26" s="1"/>
  <c r="Z339" i="26" s="1"/>
  <c r="Z340" i="26" s="1"/>
  <c r="Z341" i="26" s="1"/>
  <c r="Z342" i="26" s="1"/>
  <c r="Z343" i="26" s="1"/>
  <c r="Z344" i="26" s="1"/>
  <c r="Z345" i="26" s="1"/>
  <c r="Z346" i="26" s="1"/>
  <c r="Z347" i="26" s="1"/>
  <c r="Z348" i="26" s="1"/>
  <c r="Z349" i="26" s="1"/>
  <c r="Z350" i="26" s="1"/>
  <c r="Z351" i="26" s="1"/>
  <c r="Z352" i="26" s="1"/>
  <c r="Z353" i="26" s="1"/>
  <c r="Z354" i="26" s="1"/>
  <c r="Z355" i="26" s="1"/>
  <c r="Z356" i="26" s="1"/>
  <c r="Z357" i="26" s="1"/>
  <c r="Z358" i="26" s="1"/>
  <c r="Z359" i="26" s="1"/>
  <c r="Z360" i="26" s="1"/>
  <c r="Z361" i="26" s="1"/>
  <c r="Z362" i="26" s="1"/>
  <c r="Z363" i="26" s="1"/>
  <c r="Z364" i="26" s="1"/>
  <c r="Z365" i="26" s="1"/>
  <c r="Z366" i="26" s="1"/>
  <c r="Z367" i="26" s="1"/>
  <c r="Z368" i="26" s="1"/>
  <c r="Z369" i="26" s="1"/>
  <c r="Z370" i="26" s="1"/>
  <c r="Z371" i="26" s="1"/>
  <c r="Z372" i="26" s="1"/>
  <c r="Z373" i="26" s="1"/>
  <c r="Z374" i="26" s="1"/>
  <c r="Z375" i="26" s="1"/>
  <c r="Z376" i="26" s="1"/>
  <c r="Z377" i="26" s="1"/>
  <c r="Z378" i="26" s="1"/>
  <c r="Z379" i="26" s="1"/>
  <c r="Z380" i="26" s="1"/>
  <c r="Z381" i="26" s="1"/>
  <c r="Z382" i="26" s="1"/>
  <c r="Z383" i="26" s="1"/>
  <c r="Z384" i="26" s="1"/>
  <c r="Z385" i="26" s="1"/>
  <c r="Z386" i="26" s="1"/>
  <c r="Z387" i="26" s="1"/>
  <c r="Z388" i="26" s="1"/>
  <c r="Z389" i="26" s="1"/>
  <c r="Z390" i="26" s="1"/>
  <c r="Z391" i="26" s="1"/>
  <c r="Z392" i="26" s="1"/>
  <c r="Z393" i="26" s="1"/>
  <c r="Z394" i="26" s="1"/>
  <c r="Z395" i="26" s="1"/>
  <c r="Z396" i="26" s="1"/>
  <c r="Z397" i="26" s="1"/>
  <c r="Z398" i="26" s="1"/>
  <c r="Z399" i="26" s="1"/>
  <c r="Z400" i="26" s="1"/>
  <c r="Z401" i="26" s="1"/>
  <c r="Z402" i="26" s="1"/>
  <c r="Z403" i="26" s="1"/>
  <c r="Z404" i="26" s="1"/>
  <c r="Z405" i="26" s="1"/>
  <c r="Z406" i="26" s="1"/>
  <c r="Z407" i="26" s="1"/>
  <c r="Z408" i="26" s="1"/>
  <c r="Z409" i="26" s="1"/>
  <c r="Z410" i="26" s="1"/>
  <c r="Z411" i="26" s="1"/>
  <c r="Z412" i="26" s="1"/>
  <c r="Z413" i="26" s="1"/>
  <c r="Z414" i="26" s="1"/>
  <c r="Z415" i="26" s="1"/>
  <c r="Z416" i="26" s="1"/>
  <c r="Z417" i="26" s="1"/>
  <c r="Z418" i="26" s="1"/>
  <c r="Z419" i="26" s="1"/>
  <c r="Z420" i="26" s="1"/>
  <c r="Z421" i="26" s="1"/>
  <c r="Z422" i="26" s="1"/>
  <c r="Z423" i="26" s="1"/>
  <c r="Z424" i="26" s="1"/>
  <c r="Z425" i="26" s="1"/>
  <c r="Z426" i="26" s="1"/>
  <c r="Z427" i="26" s="1"/>
  <c r="Z428" i="26" s="1"/>
  <c r="Z429" i="26" s="1"/>
  <c r="Z430" i="26" s="1"/>
  <c r="Z431" i="26" s="1"/>
  <c r="Z432" i="26" s="1"/>
  <c r="Z433" i="26" s="1"/>
  <c r="Z434" i="26" s="1"/>
  <c r="Z435" i="26" s="1"/>
  <c r="Z436" i="26" s="1"/>
  <c r="Z437" i="26" s="1"/>
  <c r="Z438" i="26" s="1"/>
  <c r="Z439" i="26" s="1"/>
  <c r="Z440" i="26" s="1"/>
  <c r="Z441" i="26" s="1"/>
  <c r="Z442" i="26" s="1"/>
  <c r="Z443" i="26" s="1"/>
  <c r="Z444" i="26" s="1"/>
  <c r="Z445" i="26" s="1"/>
  <c r="Z446" i="26" s="1"/>
  <c r="Z447" i="26" s="1"/>
  <c r="Z448" i="26" s="1"/>
  <c r="Z449" i="26" s="1"/>
  <c r="Z450" i="26" s="1"/>
  <c r="Z451" i="26" s="1"/>
  <c r="Z452" i="26" s="1"/>
  <c r="Z453" i="26" s="1"/>
  <c r="Z454" i="26" s="1"/>
  <c r="Z455" i="26" s="1"/>
  <c r="Z456" i="26" s="1"/>
  <c r="Z457" i="26" s="1"/>
  <c r="Z458" i="26" s="1"/>
  <c r="Z459" i="26" s="1"/>
  <c r="Z460" i="26" s="1"/>
  <c r="Z461" i="26" s="1"/>
  <c r="Z462" i="26" s="1"/>
  <c r="Z463" i="26" s="1"/>
  <c r="Z464" i="26" s="1"/>
  <c r="Z465" i="26" s="1"/>
  <c r="Z466" i="26" s="1"/>
  <c r="Z467" i="26" s="1"/>
  <c r="Z468" i="26" s="1"/>
  <c r="Z469" i="26" s="1"/>
  <c r="Z470" i="26" s="1"/>
  <c r="Z471" i="26" s="1"/>
  <c r="Z472" i="26" s="1"/>
  <c r="Z473" i="26" s="1"/>
  <c r="Z474" i="26" s="1"/>
  <c r="Z475" i="26" s="1"/>
  <c r="Z476" i="26" s="1"/>
  <c r="Z477" i="26" s="1"/>
  <c r="Z478" i="26" s="1"/>
  <c r="Z479" i="26" s="1"/>
  <c r="Z480" i="26" s="1"/>
  <c r="Z481" i="26" s="1"/>
  <c r="Z482" i="26" s="1"/>
  <c r="Z483" i="26" s="1"/>
  <c r="Z484" i="26" s="1"/>
  <c r="Z485" i="26" s="1"/>
  <c r="Z486" i="26" s="1"/>
  <c r="Z487" i="26" s="1"/>
  <c r="Z488" i="26" s="1"/>
  <c r="Z489" i="26" s="1"/>
  <c r="Z490" i="26" s="1"/>
  <c r="Z491" i="26" s="1"/>
  <c r="Z492" i="26" s="1"/>
  <c r="Z493" i="26" s="1"/>
  <c r="Z494" i="26" s="1"/>
  <c r="Z495" i="26" s="1"/>
  <c r="Z496" i="26" s="1"/>
  <c r="Z497" i="26" s="1"/>
  <c r="Z498" i="26" s="1"/>
  <c r="Z499" i="26" s="1"/>
  <c r="Z500" i="26" s="1"/>
  <c r="Z501" i="26" s="1"/>
  <c r="Z502" i="26" s="1"/>
  <c r="Z503" i="26" s="1"/>
  <c r="Z504" i="26" s="1"/>
  <c r="Z505" i="26" s="1"/>
  <c r="Z506" i="26" s="1"/>
  <c r="Z507" i="26" s="1"/>
  <c r="Z508" i="26" s="1"/>
  <c r="Z509" i="26" s="1"/>
  <c r="Z510" i="26" s="1"/>
  <c r="Z511" i="26" s="1"/>
  <c r="Z512" i="26" s="1"/>
  <c r="Z513" i="26" s="1"/>
  <c r="Z514" i="26" s="1"/>
  <c r="Z515" i="26" s="1"/>
  <c r="Z516" i="26" s="1"/>
  <c r="Z517" i="26" s="1"/>
  <c r="Z518" i="26" s="1"/>
  <c r="Z519" i="26" s="1"/>
  <c r="Z520" i="26" s="1"/>
  <c r="Z521" i="26" s="1"/>
  <c r="Z522" i="26" s="1"/>
  <c r="Z523" i="26" s="1"/>
  <c r="Z524" i="26" s="1"/>
  <c r="Z525" i="26" s="1"/>
  <c r="Z526" i="26" s="1"/>
  <c r="Z527" i="26" s="1"/>
  <c r="Z528" i="26" s="1"/>
  <c r="Z529" i="26" s="1"/>
  <c r="Z530" i="26" s="1"/>
  <c r="Z531" i="26" s="1"/>
  <c r="Z532" i="26" s="1"/>
  <c r="Z533" i="26" s="1"/>
  <c r="Z534" i="26" s="1"/>
  <c r="Z535" i="26" s="1"/>
  <c r="Z536" i="26" s="1"/>
  <c r="Z537" i="26" s="1"/>
  <c r="Z538" i="26" s="1"/>
  <c r="Z539" i="26" s="1"/>
  <c r="Z540" i="26" s="1"/>
  <c r="Z541" i="26" s="1"/>
  <c r="Z542" i="26" s="1"/>
  <c r="Z543" i="26" s="1"/>
  <c r="Z544" i="26" s="1"/>
  <c r="Z545" i="26" s="1"/>
  <c r="Z546" i="26" s="1"/>
  <c r="Z547" i="26" s="1"/>
  <c r="Z548" i="26" s="1"/>
  <c r="Z549" i="26" s="1"/>
  <c r="Z550" i="26" s="1"/>
  <c r="Z551" i="26" s="1"/>
  <c r="Z552" i="26" s="1"/>
  <c r="Z553" i="26" s="1"/>
  <c r="Z554" i="26" s="1"/>
  <c r="Z555" i="26" s="1"/>
  <c r="Z556" i="26" s="1"/>
  <c r="Z557" i="26" s="1"/>
  <c r="Z558" i="26" s="1"/>
  <c r="Z559" i="26" s="1"/>
  <c r="Z560" i="26" s="1"/>
  <c r="Z561" i="26" s="1"/>
  <c r="Z562" i="26" s="1"/>
  <c r="Z563" i="26" s="1"/>
  <c r="Z564" i="26" s="1"/>
  <c r="Z565" i="26" s="1"/>
  <c r="Z566" i="26" s="1"/>
  <c r="Z567" i="26" s="1"/>
  <c r="Z568" i="26" s="1"/>
  <c r="Z569" i="26" s="1"/>
  <c r="Z570" i="26" s="1"/>
  <c r="Z571" i="26" s="1"/>
  <c r="Z572" i="26" s="1"/>
  <c r="Z573" i="26" s="1"/>
  <c r="Z574" i="26" s="1"/>
  <c r="Z575" i="26" s="1"/>
  <c r="Z576" i="26" s="1"/>
  <c r="Z577" i="26" s="1"/>
  <c r="Z578" i="26" s="1"/>
  <c r="Z579" i="26" s="1"/>
  <c r="Z580" i="26" s="1"/>
  <c r="Z581" i="26" s="1"/>
  <c r="Z582" i="26" s="1"/>
  <c r="Z583" i="26" s="1"/>
  <c r="Z584" i="26" s="1"/>
  <c r="Z585" i="26" s="1"/>
  <c r="Z586" i="26" s="1"/>
  <c r="Z587" i="26" s="1"/>
  <c r="Z588" i="26" s="1"/>
  <c r="Z589" i="26" s="1"/>
  <c r="Z590" i="26" s="1"/>
  <c r="Z591" i="26" s="1"/>
  <c r="Z592" i="26" s="1"/>
  <c r="Z593" i="26" s="1"/>
  <c r="Z594" i="26" s="1"/>
  <c r="Z595" i="26" s="1"/>
  <c r="R13" i="15"/>
  <c r="R29" i="15"/>
  <c r="R31" i="22"/>
  <c r="AL31" i="22"/>
  <c r="Z13" i="23"/>
  <c r="AP30" i="23"/>
  <c r="AH30" i="23"/>
  <c r="Z13" i="15"/>
  <c r="AD29" i="15"/>
  <c r="V31" i="22"/>
  <c r="F13" i="23"/>
  <c r="R26" i="23"/>
  <c r="AH13" i="15"/>
  <c r="Z29" i="15"/>
  <c r="AP13" i="15"/>
  <c r="N29" i="15"/>
  <c r="V13" i="15"/>
  <c r="V29" i="15"/>
  <c r="Z31" i="22"/>
  <c r="R30" i="23"/>
  <c r="AD13" i="23"/>
  <c r="J13" i="23"/>
  <c r="AP13" i="23"/>
  <c r="N26" i="23"/>
  <c r="J30" i="23"/>
  <c r="F31" i="22"/>
  <c r="Z30" i="23"/>
  <c r="Z14" i="22"/>
  <c r="AT13" i="15"/>
  <c r="AH29" i="15"/>
  <c r="F13" i="15"/>
  <c r="AL29" i="15"/>
  <c r="N13" i="15"/>
  <c r="J26" i="22"/>
  <c r="AP14" i="22"/>
  <c r="V13" i="23"/>
  <c r="AT30" i="23"/>
  <c r="AL13" i="23"/>
  <c r="J31" i="22"/>
  <c r="F30" i="23"/>
  <c r="N14" i="22"/>
  <c r="AH31" i="22"/>
  <c r="J25" i="15"/>
  <c r="AT29" i="15"/>
  <c r="AD13" i="15"/>
  <c r="J14" i="22"/>
  <c r="AT31" i="22"/>
  <c r="AH14" i="22"/>
  <c r="N30" i="23"/>
  <c r="R13" i="23"/>
  <c r="R9" i="23"/>
  <c r="AT13" i="23"/>
  <c r="AL30" i="23"/>
  <c r="R14" i="22"/>
  <c r="V30" i="23"/>
  <c r="AD30" i="23"/>
  <c r="N9" i="23"/>
  <c r="AD14" i="22"/>
  <c r="AH13" i="23"/>
  <c r="F29" i="15"/>
  <c r="J9" i="15"/>
  <c r="AT14" i="22"/>
  <c r="J9" i="22"/>
  <c r="AP31" i="22"/>
  <c r="V14" i="22"/>
  <c r="N31" i="22"/>
  <c r="AP29" i="15"/>
  <c r="AL13" i="15"/>
  <c r="J29" i="15"/>
  <c r="J13" i="15"/>
  <c r="AD31" i="22"/>
  <c r="F14" i="22"/>
  <c r="AL14" i="22"/>
  <c r="N13" i="23"/>
  <c r="L8" i="22"/>
  <c r="L24" i="15"/>
  <c r="L25" i="22"/>
  <c r="T25" i="23"/>
  <c r="L8" i="15"/>
  <c r="T8" i="23"/>
  <c r="P8" i="23"/>
  <c r="P25" i="23"/>
  <c r="K2" i="24" l="1"/>
  <c r="T26" i="23"/>
  <c r="L9" i="22"/>
  <c r="L9" i="15"/>
  <c r="P9" i="23"/>
  <c r="T9" i="23"/>
  <c r="L25" i="15"/>
  <c r="L26" i="22"/>
  <c r="P26" i="23"/>
  <c r="A597" i="26" l="1"/>
  <c r="A598" i="26" s="1"/>
  <c r="A599" i="26" s="1"/>
  <c r="A600" i="26" s="1"/>
  <c r="A601" i="26" s="1"/>
  <c r="A602" i="26" s="1"/>
  <c r="A603" i="26" s="1"/>
  <c r="A604" i="26" s="1"/>
  <c r="A605" i="26" s="1"/>
  <c r="A606" i="26" s="1"/>
  <c r="A607" i="26" s="1"/>
  <c r="A608" i="26" s="1"/>
  <c r="A609" i="26" s="1"/>
  <c r="A610" i="26" s="1"/>
  <c r="A611" i="26" s="1"/>
  <c r="A612" i="26" s="1"/>
  <c r="A613" i="26" s="1"/>
  <c r="A614" i="26" s="1"/>
  <c r="A615" i="26" s="1"/>
  <c r="A616" i="26" s="1"/>
  <c r="A617" i="26" s="1"/>
  <c r="A618" i="26" s="1"/>
  <c r="A619" i="26" s="1"/>
  <c r="A620" i="26" s="1"/>
  <c r="A621" i="26" s="1"/>
  <c r="A622" i="26" s="1"/>
  <c r="A623" i="26" s="1"/>
  <c r="A624" i="26" s="1"/>
  <c r="A625" i="26" s="1"/>
  <c r="A626" i="26" s="1"/>
  <c r="A627" i="26" s="1"/>
  <c r="A628" i="26" s="1"/>
  <c r="A629" i="26" s="1"/>
  <c r="A630" i="26" s="1"/>
  <c r="A631" i="26" s="1"/>
  <c r="A632" i="26" s="1"/>
  <c r="A633" i="26" s="1"/>
  <c r="A634" i="26" s="1"/>
  <c r="A635" i="26" s="1"/>
  <c r="A636" i="26" s="1"/>
  <c r="A637" i="26" s="1"/>
  <c r="A638" i="26" s="1"/>
  <c r="A639" i="26" s="1"/>
  <c r="A640" i="26" s="1"/>
  <c r="A641" i="26" s="1"/>
  <c r="A642" i="26" s="1"/>
  <c r="A643" i="26" s="1"/>
  <c r="A644" i="26" s="1"/>
  <c r="A645" i="26" s="1"/>
  <c r="A646" i="26" s="1"/>
  <c r="A647" i="26" s="1"/>
  <c r="A648" i="26" s="1"/>
  <c r="A649" i="26" s="1"/>
  <c r="A650" i="26" s="1"/>
  <c r="A651" i="26" s="1"/>
  <c r="A652" i="26" s="1"/>
  <c r="A653" i="26" s="1"/>
  <c r="A654" i="26" s="1"/>
  <c r="A655" i="26" s="1"/>
  <c r="A656" i="26" s="1"/>
  <c r="A657" i="26" s="1"/>
  <c r="A658" i="26" s="1"/>
  <c r="A659" i="26" s="1"/>
  <c r="A660" i="26" s="1"/>
  <c r="A661" i="26" s="1"/>
  <c r="A662" i="26" s="1"/>
  <c r="A663" i="26" s="1"/>
  <c r="A664" i="26" s="1"/>
  <c r="A665" i="26" s="1"/>
  <c r="A666" i="26" s="1"/>
  <c r="A667" i="26" s="1"/>
  <c r="A668" i="26" s="1"/>
  <c r="A669" i="26" s="1"/>
  <c r="A670" i="26" s="1"/>
  <c r="A671" i="26" s="1"/>
  <c r="A672" i="26" s="1"/>
  <c r="A673" i="26" s="1"/>
  <c r="A674" i="26" s="1"/>
  <c r="A675" i="26" s="1"/>
  <c r="A676" i="26" s="1"/>
  <c r="A677" i="26" s="1"/>
  <c r="A678" i="26" s="1"/>
  <c r="A679" i="26" s="1"/>
  <c r="A680" i="26" s="1"/>
  <c r="A681" i="26" s="1"/>
  <c r="A682" i="26" s="1"/>
  <c r="A683" i="26" s="1"/>
  <c r="A684" i="26" s="1"/>
  <c r="A685" i="26" s="1"/>
  <c r="A686" i="26" s="1"/>
  <c r="A687" i="26" s="1"/>
  <c r="A688" i="26" s="1"/>
  <c r="A689" i="26" s="1"/>
  <c r="A690" i="26" s="1"/>
  <c r="A691" i="26" s="1"/>
  <c r="A692" i="26" s="1"/>
  <c r="A693" i="26" s="1"/>
  <c r="A694" i="26" s="1"/>
  <c r="A695" i="26" s="1"/>
  <c r="A696" i="26" s="1"/>
  <c r="A697" i="26" s="1"/>
  <c r="A698" i="26" s="1"/>
  <c r="A699" i="26" s="1"/>
  <c r="A700" i="26" s="1"/>
  <c r="A701" i="26" s="1"/>
  <c r="A702" i="26" s="1"/>
  <c r="A703" i="26" s="1"/>
  <c r="A704" i="26" s="1"/>
  <c r="A705" i="26" s="1"/>
  <c r="A706" i="26" s="1"/>
  <c r="A707" i="26" s="1"/>
  <c r="A708" i="26" s="1"/>
  <c r="A709" i="26" s="1"/>
  <c r="A710" i="26" s="1"/>
  <c r="A711" i="26" s="1"/>
  <c r="A712" i="26" s="1"/>
  <c r="A713" i="26" s="1"/>
  <c r="A714" i="26" s="1"/>
  <c r="A715" i="26" s="1"/>
  <c r="A716" i="26" s="1"/>
  <c r="A717" i="26" s="1"/>
  <c r="A718" i="26" s="1"/>
  <c r="A719" i="26" s="1"/>
  <c r="A720" i="26" s="1"/>
  <c r="A721" i="26" s="1"/>
  <c r="A722" i="26" s="1"/>
  <c r="A723" i="26" s="1"/>
  <c r="A724" i="26" s="1"/>
  <c r="A725" i="26" s="1"/>
  <c r="A726" i="26" s="1"/>
  <c r="A727" i="26" s="1"/>
  <c r="A728" i="26" s="1"/>
  <c r="A729" i="26" s="1"/>
  <c r="A730" i="26" s="1"/>
  <c r="A731" i="26" s="1"/>
  <c r="A732" i="26" s="1"/>
  <c r="A733" i="26" s="1"/>
  <c r="A734" i="26" s="1"/>
  <c r="A735" i="26" s="1"/>
  <c r="A736" i="26" s="1"/>
  <c r="A737" i="26" s="1"/>
  <c r="A738" i="26" s="1"/>
  <c r="A739" i="26" s="1"/>
  <c r="A740" i="26" s="1"/>
  <c r="A741" i="26" s="1"/>
  <c r="A742" i="26" s="1"/>
  <c r="A743" i="26" s="1"/>
  <c r="A744" i="26" s="1"/>
  <c r="A745" i="26" s="1"/>
  <c r="A746" i="26" s="1"/>
  <c r="A747" i="26" s="1"/>
  <c r="A748" i="26" s="1"/>
  <c r="A749" i="26" s="1"/>
  <c r="A750" i="26" s="1"/>
  <c r="A751" i="26" s="1"/>
  <c r="A752" i="26" s="1"/>
  <c r="A753" i="26" s="1"/>
  <c r="A754" i="26" s="1"/>
  <c r="A755" i="26" s="1"/>
  <c r="A756" i="26" s="1"/>
  <c r="A757" i="26" s="1"/>
  <c r="A758" i="26" s="1"/>
  <c r="A759" i="26" s="1"/>
  <c r="A760" i="26" s="1"/>
  <c r="A761" i="26" s="1"/>
  <c r="A762" i="26" s="1"/>
  <c r="A763" i="26" s="1"/>
  <c r="A764" i="26" s="1"/>
  <c r="A765" i="26" s="1"/>
  <c r="A766" i="26" s="1"/>
  <c r="A767" i="26" s="1"/>
  <c r="A768" i="26" s="1"/>
  <c r="A769" i="26" s="1"/>
  <c r="A770" i="26" s="1"/>
  <c r="A771" i="26" s="1"/>
  <c r="A772" i="26" s="1"/>
  <c r="A773" i="26" s="1"/>
  <c r="A774" i="26" s="1"/>
  <c r="A775" i="26" s="1"/>
  <c r="A776" i="26" s="1"/>
  <c r="A777" i="26" s="1"/>
  <c r="A778" i="26" s="1"/>
  <c r="A779" i="26" s="1"/>
  <c r="A780" i="26" s="1"/>
  <c r="A781" i="26" s="1"/>
  <c r="A782" i="26" s="1"/>
  <c r="A783" i="26" s="1"/>
  <c r="A784" i="26" s="1"/>
  <c r="A785" i="26" s="1"/>
  <c r="A786" i="26" s="1"/>
  <c r="A787" i="26" s="1"/>
  <c r="A788" i="26" s="1"/>
  <c r="A789" i="26" s="1"/>
  <c r="A790" i="26" s="1"/>
  <c r="A791" i="26" s="1"/>
  <c r="A792" i="26" s="1"/>
  <c r="A793" i="26" s="1"/>
  <c r="A794" i="26" s="1"/>
  <c r="A795" i="26" s="1"/>
  <c r="A796" i="26" s="1"/>
  <c r="A797" i="26" s="1"/>
  <c r="A798" i="26" s="1"/>
  <c r="A799" i="26" s="1"/>
  <c r="A800" i="26" s="1"/>
  <c r="A801" i="26" s="1"/>
  <c r="A802" i="26" s="1"/>
  <c r="A803" i="26" s="1"/>
  <c r="A804" i="26" s="1"/>
  <c r="A805" i="26" s="1"/>
  <c r="A806" i="26" s="1"/>
  <c r="A807" i="26" s="1"/>
  <c r="A808" i="26" s="1"/>
  <c r="A809" i="26" s="1"/>
  <c r="A810" i="26" s="1"/>
  <c r="A811" i="26" s="1"/>
  <c r="A812" i="26" s="1"/>
  <c r="A813" i="26" s="1"/>
  <c r="A814" i="26" s="1"/>
  <c r="A815" i="26" s="1"/>
  <c r="A816" i="26" s="1"/>
  <c r="A817" i="26" s="1"/>
  <c r="A818" i="26" s="1"/>
  <c r="A819" i="26" s="1"/>
  <c r="A820" i="26" s="1"/>
  <c r="A821" i="26" s="1"/>
  <c r="A822" i="26" s="1"/>
  <c r="A823" i="26" s="1"/>
  <c r="A824" i="26" s="1"/>
  <c r="A825" i="26" s="1"/>
  <c r="A826" i="26" s="1"/>
  <c r="A827" i="26" s="1"/>
  <c r="A828" i="26" s="1"/>
  <c r="A829" i="26" s="1"/>
  <c r="A830" i="26" s="1"/>
  <c r="A831" i="26" s="1"/>
  <c r="A832" i="26" s="1"/>
  <c r="A833" i="26" s="1"/>
  <c r="A834" i="26" s="1"/>
  <c r="A835" i="26" s="1"/>
  <c r="A836" i="26" s="1"/>
  <c r="A837" i="26" s="1"/>
  <c r="A838" i="26" s="1"/>
  <c r="A839" i="26" s="1"/>
  <c r="A840" i="26" s="1"/>
  <c r="A841" i="26" s="1"/>
  <c r="A842" i="26" s="1"/>
  <c r="A843" i="26" s="1"/>
  <c r="A844" i="26" s="1"/>
  <c r="A845" i="26" s="1"/>
  <c r="A846" i="26" s="1"/>
  <c r="A847" i="26" s="1"/>
  <c r="A848" i="26" s="1"/>
  <c r="A849" i="26" s="1"/>
  <c r="A850" i="26" s="1"/>
  <c r="A851" i="26" s="1"/>
  <c r="A852" i="26" s="1"/>
  <c r="A853" i="26" s="1"/>
  <c r="A854" i="26" s="1"/>
  <c r="A855" i="26" s="1"/>
  <c r="A856" i="26" s="1"/>
  <c r="A857" i="26" s="1"/>
  <c r="A858" i="26" s="1"/>
  <c r="A859" i="26" s="1"/>
  <c r="A860" i="26" s="1"/>
  <c r="A861" i="26" s="1"/>
  <c r="A862" i="26" s="1"/>
  <c r="A863" i="26" s="1"/>
  <c r="A864" i="26" s="1"/>
  <c r="A865" i="26" s="1"/>
  <c r="A866" i="26" s="1"/>
  <c r="A867" i="26" s="1"/>
  <c r="A868" i="26" s="1"/>
  <c r="A869" i="26" s="1"/>
  <c r="A870" i="26" s="1"/>
  <c r="A871" i="26" s="1"/>
  <c r="A872" i="26" s="1"/>
  <c r="A873" i="26" s="1"/>
  <c r="A874" i="26" s="1"/>
  <c r="A875" i="26" s="1"/>
  <c r="A876" i="26" s="1"/>
  <c r="A877" i="26" s="1"/>
  <c r="A878" i="26" s="1"/>
  <c r="A879" i="26" s="1"/>
  <c r="A880" i="26" s="1"/>
  <c r="A881" i="26" s="1"/>
  <c r="A882" i="26" s="1"/>
  <c r="A883" i="26" s="1"/>
  <c r="A884" i="26" s="1"/>
  <c r="A885" i="26" s="1"/>
  <c r="A886" i="26" s="1"/>
  <c r="A887" i="26" s="1"/>
  <c r="A888" i="26" s="1"/>
  <c r="A889" i="26" s="1"/>
  <c r="A890" i="26" s="1"/>
  <c r="A891" i="26" s="1"/>
  <c r="A892" i="26" s="1"/>
  <c r="A893" i="26" s="1"/>
  <c r="A894" i="26" s="1"/>
  <c r="A895" i="26" s="1"/>
  <c r="A896" i="26" s="1"/>
  <c r="A897" i="26" s="1"/>
  <c r="A898" i="26" s="1"/>
  <c r="A899" i="26" s="1"/>
  <c r="A900" i="26" s="1"/>
  <c r="A901" i="26" s="1"/>
  <c r="A902" i="26" s="1"/>
  <c r="A903" i="26" s="1"/>
  <c r="A904" i="26" s="1"/>
  <c r="A905" i="26" s="1"/>
  <c r="A906" i="26" s="1"/>
  <c r="A907" i="26" s="1"/>
  <c r="A908" i="26" s="1"/>
  <c r="A909" i="26" s="1"/>
  <c r="A910" i="26" s="1"/>
  <c r="A911" i="26" s="1"/>
  <c r="A912" i="26" s="1"/>
  <c r="A913" i="26" s="1"/>
  <c r="A914" i="26" s="1"/>
  <c r="A915" i="26" s="1"/>
  <c r="A916" i="26" s="1"/>
  <c r="A917" i="26" s="1"/>
  <c r="A918" i="26" s="1"/>
  <c r="A919" i="26" s="1"/>
  <c r="A920" i="26" s="1"/>
  <c r="A921" i="26" s="1"/>
  <c r="A922" i="26" s="1"/>
  <c r="A923" i="26" s="1"/>
  <c r="A924" i="26" s="1"/>
  <c r="A925" i="26" s="1"/>
  <c r="A926" i="26" s="1"/>
  <c r="A927" i="26" s="1"/>
  <c r="A928" i="26" s="1"/>
  <c r="A929" i="26" s="1"/>
  <c r="A930" i="26" s="1"/>
  <c r="A931" i="26" s="1"/>
  <c r="A932" i="26" s="1"/>
  <c r="A933" i="26" s="1"/>
  <c r="A934" i="26" s="1"/>
  <c r="A935" i="26" s="1"/>
  <c r="A936" i="26" s="1"/>
  <c r="A937" i="26" s="1"/>
  <c r="A938" i="26" s="1"/>
  <c r="A939" i="26" s="1"/>
  <c r="A940" i="26" s="1"/>
  <c r="A941" i="26" s="1"/>
  <c r="A942" i="26" s="1"/>
  <c r="A943" i="26" s="1"/>
  <c r="A944" i="26" s="1"/>
  <c r="A945" i="26" s="1"/>
  <c r="A946" i="26" s="1"/>
  <c r="A947" i="26" s="1"/>
  <c r="A948" i="26" s="1"/>
  <c r="A949" i="26" s="1"/>
  <c r="A950" i="26" s="1"/>
  <c r="A951" i="26" s="1"/>
  <c r="A952" i="26" s="1"/>
  <c r="A953" i="26" s="1"/>
  <c r="A954" i="26" s="1"/>
  <c r="A955" i="26" s="1"/>
  <c r="A956" i="26" s="1"/>
  <c r="A957" i="26" s="1"/>
  <c r="A958" i="26" s="1"/>
  <c r="A959" i="26" s="1"/>
  <c r="A960" i="26" s="1"/>
  <c r="A961" i="26" s="1"/>
  <c r="A962" i="26" s="1"/>
  <c r="A963" i="26" s="1"/>
  <c r="A964" i="26" s="1"/>
  <c r="A965" i="26" s="1"/>
  <c r="A966" i="26" s="1"/>
  <c r="A967" i="26" s="1"/>
  <c r="A968" i="26" s="1"/>
  <c r="A969" i="26" s="1"/>
  <c r="A970" i="26" s="1"/>
  <c r="A971" i="26" s="1"/>
  <c r="A972" i="26" s="1"/>
  <c r="A973" i="26" s="1"/>
  <c r="A974" i="26" s="1"/>
  <c r="A975" i="26" s="1"/>
  <c r="A976" i="26" s="1"/>
  <c r="A977" i="26" s="1"/>
  <c r="A978" i="26" s="1"/>
  <c r="A979" i="26" s="1"/>
  <c r="A980" i="26" s="1"/>
  <c r="A981" i="26" s="1"/>
  <c r="A982" i="26" s="1"/>
  <c r="A983" i="26" s="1"/>
  <c r="A984" i="26" s="1"/>
  <c r="A985" i="26" s="1"/>
  <c r="A986" i="26" s="1"/>
  <c r="A987" i="26" s="1"/>
  <c r="A988" i="26" s="1"/>
  <c r="A989" i="26" s="1"/>
  <c r="A990" i="26" s="1"/>
  <c r="A991" i="26" s="1"/>
  <c r="A992" i="26" s="1"/>
  <c r="A993" i="26" s="1"/>
  <c r="A994" i="26" s="1"/>
  <c r="A995" i="26" s="1"/>
  <c r="A996" i="26" s="1"/>
  <c r="A997" i="26" s="1"/>
  <c r="A998" i="26" s="1"/>
  <c r="A999" i="26" s="1"/>
  <c r="A1000" i="26" s="1"/>
  <c r="A1001" i="26" s="1"/>
  <c r="A1002" i="26" s="1"/>
  <c r="A1003" i="26" s="1"/>
  <c r="A1004" i="26" s="1"/>
  <c r="A1005" i="26" s="1"/>
  <c r="A1006" i="26" s="1"/>
  <c r="A1007" i="26" s="1"/>
  <c r="A1008" i="26" s="1"/>
  <c r="A1009" i="26" s="1"/>
  <c r="A1010" i="26" s="1"/>
  <c r="A1011" i="26" s="1"/>
  <c r="A1012" i="26" s="1"/>
  <c r="A1013" i="26" s="1"/>
  <c r="A1014" i="26" s="1"/>
  <c r="A1015" i="26" s="1"/>
  <c r="A1016" i="26" s="1"/>
  <c r="A1017" i="26" s="1"/>
  <c r="A1018" i="26" s="1"/>
  <c r="A1019" i="26" s="1"/>
  <c r="A1020" i="26" s="1"/>
  <c r="A1021" i="26" s="1"/>
  <c r="A1022" i="26" s="1"/>
  <c r="A1023" i="26" s="1"/>
  <c r="A1024" i="26" s="1"/>
  <c r="A1025" i="26" s="1"/>
  <c r="A1026" i="26" s="1"/>
  <c r="A1027" i="26" s="1"/>
  <c r="A1028" i="26" s="1"/>
  <c r="A1029" i="26" s="1"/>
  <c r="A1030" i="26" s="1"/>
  <c r="A1031" i="26" s="1"/>
  <c r="A1032" i="26" s="1"/>
  <c r="A1033" i="26" s="1"/>
  <c r="A1034" i="26" s="1"/>
  <c r="A1035" i="26" s="1"/>
  <c r="A1036" i="26" s="1"/>
  <c r="A1037" i="26" s="1"/>
  <c r="A1038" i="26" s="1"/>
  <c r="A1039" i="26" s="1"/>
  <c r="A1040" i="26" s="1"/>
  <c r="A1041" i="26" s="1"/>
  <c r="A1042" i="26" s="1"/>
  <c r="A1043" i="26" s="1"/>
  <c r="A1044" i="26" s="1"/>
  <c r="A1045" i="26" s="1"/>
  <c r="A1046" i="26" s="1"/>
  <c r="A1047" i="26" s="1"/>
  <c r="A1048" i="26" s="1"/>
  <c r="A1049" i="26" s="1"/>
  <c r="A1050" i="26" s="1"/>
  <c r="A1051" i="26" s="1"/>
  <c r="A1052" i="26" s="1"/>
  <c r="A1053" i="26" s="1"/>
  <c r="A1054" i="26" s="1"/>
  <c r="A1055" i="26" s="1"/>
  <c r="A1056" i="26" s="1"/>
  <c r="A1057" i="26" s="1"/>
  <c r="A1058" i="26" s="1"/>
  <c r="A1059" i="26" s="1"/>
  <c r="A1060" i="26" s="1"/>
  <c r="A1061" i="26" s="1"/>
  <c r="A1062" i="26" s="1"/>
  <c r="A1063" i="26" s="1"/>
  <c r="A1064" i="26" s="1"/>
  <c r="A1065" i="26" s="1"/>
  <c r="A1066" i="26" s="1"/>
  <c r="A1067" i="26" s="1"/>
  <c r="A1068" i="26" s="1"/>
  <c r="A1069" i="26" s="1"/>
  <c r="A1070" i="26" s="1"/>
  <c r="A1071" i="26" s="1"/>
  <c r="A1072" i="26" s="1"/>
  <c r="A1073" i="26" s="1"/>
  <c r="A1074" i="26" s="1"/>
  <c r="A1075" i="26" s="1"/>
  <c r="A1076" i="26" s="1"/>
  <c r="A1077" i="26" s="1"/>
  <c r="A1078" i="26" s="1"/>
  <c r="A1079" i="26" s="1"/>
  <c r="A1080" i="26" s="1"/>
  <c r="A1081" i="26" s="1"/>
  <c r="A1082" i="26" s="1"/>
  <c r="A1083" i="26" s="1"/>
  <c r="A1084" i="26" s="1"/>
  <c r="A1085" i="26" s="1"/>
  <c r="A1086" i="26" s="1"/>
  <c r="A1087" i="26" s="1"/>
  <c r="A1088" i="26" s="1"/>
  <c r="A1089" i="26" s="1"/>
  <c r="A1090" i="26" s="1"/>
  <c r="A1091" i="26" s="1"/>
  <c r="A1092" i="26" s="1"/>
  <c r="A1093" i="26" s="1"/>
  <c r="A1094" i="26" s="1"/>
  <c r="A1095" i="26" s="1"/>
  <c r="A1096" i="26" s="1"/>
  <c r="A1097" i="26" s="1"/>
  <c r="A1098" i="26" s="1"/>
  <c r="A1099" i="26" s="1"/>
  <c r="A1100" i="26" s="1"/>
  <c r="A1101" i="26" s="1"/>
  <c r="A1102" i="26" s="1"/>
  <c r="A1103" i="26" s="1"/>
  <c r="A1104" i="26" s="1"/>
  <c r="A1105" i="26" s="1"/>
  <c r="A1106" i="26" s="1"/>
  <c r="A1107" i="26" s="1"/>
  <c r="A1108" i="26" s="1"/>
  <c r="A1109" i="26" s="1"/>
  <c r="A1110" i="26" s="1"/>
  <c r="A1111" i="26" s="1"/>
  <c r="A1112" i="26" s="1"/>
  <c r="A1113" i="26" s="1"/>
  <c r="A1114" i="26" s="1"/>
  <c r="A1115" i="26" s="1"/>
  <c r="A1116" i="26" s="1"/>
  <c r="A1117" i="26" s="1"/>
  <c r="A1118" i="26" s="1"/>
  <c r="A1119" i="26" s="1"/>
  <c r="A1120" i="26" s="1"/>
  <c r="A1121" i="26" s="1"/>
  <c r="A1122" i="26" s="1"/>
  <c r="A1123" i="26" s="1"/>
  <c r="A1124" i="26" s="1"/>
  <c r="A1125" i="26" s="1"/>
  <c r="A1126" i="26" s="1"/>
  <c r="A1127" i="26" s="1"/>
  <c r="A1128" i="26" s="1"/>
  <c r="A1129" i="26" s="1"/>
  <c r="A1130" i="26" s="1"/>
  <c r="A1131" i="26" s="1"/>
  <c r="A1132" i="26" s="1"/>
  <c r="A1133" i="26" s="1"/>
  <c r="A1134" i="26" s="1"/>
  <c r="A1135" i="26" s="1"/>
  <c r="A1136" i="26" s="1"/>
  <c r="A1137" i="26" s="1"/>
  <c r="A1138" i="26" s="1"/>
  <c r="A1139" i="26" s="1"/>
  <c r="A1140" i="26" s="1"/>
  <c r="A1141" i="26" s="1"/>
  <c r="A1142" i="26" s="1"/>
  <c r="A1143" i="26" s="1"/>
  <c r="A1144" i="26" s="1"/>
  <c r="A1145" i="26" s="1"/>
  <c r="A1146" i="26" s="1"/>
  <c r="A1147" i="26" s="1"/>
  <c r="A1148" i="26" s="1"/>
  <c r="A1149" i="26" s="1"/>
  <c r="A1150" i="26" s="1"/>
  <c r="A1151" i="26" s="1"/>
  <c r="A1152" i="26" s="1"/>
  <c r="A1153" i="26" s="1"/>
  <c r="A1154" i="26" s="1"/>
  <c r="A1155" i="26" s="1"/>
  <c r="A1156" i="26" s="1"/>
  <c r="A1157" i="26" s="1"/>
  <c r="A1158" i="26" s="1"/>
  <c r="A1159" i="26" s="1"/>
  <c r="A1160" i="26" s="1"/>
  <c r="A1161" i="26" s="1"/>
  <c r="A1162" i="26" s="1"/>
  <c r="A1163" i="26" s="1"/>
  <c r="A1164" i="26" s="1"/>
  <c r="A1165" i="26" s="1"/>
  <c r="A1166" i="26" s="1"/>
  <c r="A1167" i="26" s="1"/>
  <c r="A1168" i="26" s="1"/>
  <c r="A1169" i="26" s="1"/>
  <c r="A1170" i="26" s="1"/>
  <c r="A1171" i="26" s="1"/>
  <c r="A1172" i="26" s="1"/>
  <c r="A1173" i="26" s="1"/>
  <c r="A1174" i="26" s="1"/>
  <c r="A1175" i="26" s="1"/>
  <c r="A1176" i="26" s="1"/>
  <c r="A1177" i="26" s="1"/>
  <c r="A1178" i="26" s="1"/>
  <c r="A1179" i="26" s="1"/>
  <c r="A1180" i="26" s="1"/>
  <c r="A1181" i="26" s="1"/>
  <c r="A1182" i="26" s="1"/>
  <c r="A1183" i="26" s="1"/>
  <c r="A1184" i="26" s="1"/>
  <c r="A1185" i="26" s="1"/>
  <c r="A1186" i="26" s="1"/>
  <c r="A1187" i="26" s="1"/>
  <c r="A1188" i="26" s="1"/>
  <c r="A1189" i="26" s="1"/>
  <c r="A1190" i="26" s="1"/>
  <c r="A1191" i="26" s="1"/>
  <c r="A1192" i="26" s="1"/>
  <c r="A1193" i="26" s="1"/>
  <c r="A1194" i="26" s="1"/>
  <c r="A1195" i="26" s="1"/>
  <c r="A1196" i="26" s="1"/>
  <c r="A7" i="26"/>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A401" i="26" s="1"/>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A423" i="26" s="1"/>
  <c r="A424" i="26" s="1"/>
  <c r="A425" i="26" s="1"/>
  <c r="A426" i="26" s="1"/>
  <c r="A427" i="26" s="1"/>
  <c r="A428" i="26" s="1"/>
  <c r="A429" i="26" s="1"/>
  <c r="A430" i="26" s="1"/>
  <c r="A431" i="26" s="1"/>
  <c r="A432" i="26" s="1"/>
  <c r="A433" i="26" s="1"/>
  <c r="A434" i="26" s="1"/>
  <c r="A435" i="26" s="1"/>
  <c r="A436" i="26" s="1"/>
  <c r="A437" i="26" s="1"/>
  <c r="A438" i="26" s="1"/>
  <c r="A439" i="26" s="1"/>
  <c r="A440" i="26" s="1"/>
  <c r="A441" i="26" s="1"/>
  <c r="A442" i="26" s="1"/>
  <c r="A443" i="26" s="1"/>
  <c r="A444" i="26" s="1"/>
  <c r="A445" i="26" s="1"/>
  <c r="A446" i="26" s="1"/>
  <c r="A447" i="26" s="1"/>
  <c r="A448" i="26" s="1"/>
  <c r="A449" i="26" s="1"/>
  <c r="A450" i="26" s="1"/>
  <c r="A451" i="26" s="1"/>
  <c r="A452" i="26" s="1"/>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A489" i="26" s="1"/>
  <c r="A490" i="26" s="1"/>
  <c r="A491" i="26" s="1"/>
  <c r="A492" i="26" s="1"/>
  <c r="A493" i="26" s="1"/>
  <c r="A494" i="26" s="1"/>
  <c r="A495" i="26" s="1"/>
  <c r="A496" i="26" s="1"/>
  <c r="A497" i="26" s="1"/>
  <c r="A498" i="26" s="1"/>
  <c r="A499" i="26" s="1"/>
  <c r="A500" i="26" s="1"/>
  <c r="A501" i="26" s="1"/>
  <c r="A502" i="26" s="1"/>
  <c r="A503" i="26" s="1"/>
  <c r="A504" i="26" s="1"/>
  <c r="A505" i="26" s="1"/>
  <c r="A506" i="26" s="1"/>
  <c r="A507" i="26" s="1"/>
  <c r="A508" i="26" s="1"/>
  <c r="A509" i="26" s="1"/>
  <c r="A510" i="26" s="1"/>
  <c r="A511" i="26" s="1"/>
  <c r="A512" i="26" s="1"/>
  <c r="A513" i="26" s="1"/>
  <c r="A514" i="26" s="1"/>
  <c r="A515" i="26" s="1"/>
  <c r="A516" i="26" s="1"/>
  <c r="A517" i="26" s="1"/>
  <c r="A518" i="26" s="1"/>
  <c r="A519" i="26" s="1"/>
  <c r="A520" i="26" s="1"/>
  <c r="A521" i="26" s="1"/>
  <c r="A522" i="26" s="1"/>
  <c r="A523" i="26" s="1"/>
  <c r="A524" i="26" s="1"/>
  <c r="A525" i="26" s="1"/>
  <c r="A526" i="26" s="1"/>
  <c r="A527" i="26" s="1"/>
  <c r="A528" i="26" s="1"/>
  <c r="A529" i="26" s="1"/>
  <c r="A530" i="26" s="1"/>
  <c r="A531" i="26" s="1"/>
  <c r="A532" i="26" s="1"/>
  <c r="A533" i="26" s="1"/>
  <c r="A534" i="26" s="1"/>
  <c r="A535" i="26" s="1"/>
  <c r="A536" i="26" s="1"/>
  <c r="A537" i="26" s="1"/>
  <c r="A538" i="26" s="1"/>
  <c r="A539" i="26" s="1"/>
  <c r="A540" i="26" s="1"/>
  <c r="A541" i="26" s="1"/>
  <c r="A542" i="26" s="1"/>
  <c r="A543" i="26" s="1"/>
  <c r="A544" i="26" s="1"/>
  <c r="A545" i="26" s="1"/>
  <c r="A546" i="26" s="1"/>
  <c r="A547" i="26" s="1"/>
  <c r="A548" i="26" s="1"/>
  <c r="A549" i="26" s="1"/>
  <c r="A550" i="26" s="1"/>
  <c r="A551" i="26" s="1"/>
  <c r="A552" i="26" s="1"/>
  <c r="A553" i="26" s="1"/>
  <c r="A554" i="26" s="1"/>
  <c r="A555" i="26" s="1"/>
  <c r="A556" i="26" s="1"/>
  <c r="A557" i="26" s="1"/>
  <c r="A558" i="26" s="1"/>
  <c r="A559" i="26" s="1"/>
  <c r="A560" i="26" s="1"/>
  <c r="A561" i="26" s="1"/>
  <c r="A562" i="26" s="1"/>
  <c r="A563" i="26" s="1"/>
  <c r="A564" i="26" s="1"/>
  <c r="A565" i="26" s="1"/>
  <c r="A566" i="26" s="1"/>
  <c r="A567" i="26" s="1"/>
  <c r="A568" i="26" s="1"/>
  <c r="A569" i="26" s="1"/>
  <c r="A570" i="26" s="1"/>
  <c r="A571" i="26" s="1"/>
  <c r="A572" i="26" s="1"/>
  <c r="A573" i="26" s="1"/>
  <c r="A574" i="26" s="1"/>
  <c r="A575" i="26" s="1"/>
  <c r="A576" i="26" s="1"/>
  <c r="A577" i="26" s="1"/>
  <c r="A578" i="26" s="1"/>
  <c r="A579" i="26" s="1"/>
  <c r="A580" i="26" s="1"/>
  <c r="A581" i="26" s="1"/>
  <c r="A582" i="26" s="1"/>
  <c r="A583" i="26" s="1"/>
  <c r="A584" i="26" s="1"/>
  <c r="A585" i="26" s="1"/>
  <c r="A586" i="26" s="1"/>
  <c r="A587" i="26" s="1"/>
  <c r="A588" i="26" s="1"/>
  <c r="A589" i="26" s="1"/>
  <c r="A590" i="26" s="1"/>
  <c r="A591" i="26" s="1"/>
  <c r="A592" i="26" s="1"/>
  <c r="A593" i="26" s="1"/>
  <c r="A594" i="26" s="1"/>
  <c r="A595" i="26" s="1"/>
  <c r="K12" i="25"/>
  <c r="C10" i="25"/>
  <c r="P14" i="25"/>
  <c r="C19" i="25"/>
  <c r="L21" i="25"/>
  <c r="K11" i="25"/>
  <c r="L14" i="25"/>
  <c r="D8" i="25"/>
  <c r="D22" i="25"/>
  <c r="C21" i="25"/>
  <c r="H16" i="25"/>
  <c r="O12" i="25"/>
  <c r="G19" i="25"/>
  <c r="L18" i="25"/>
  <c r="O18" i="25"/>
  <c r="G22" i="25"/>
  <c r="K7" i="25"/>
  <c r="V21" i="16"/>
  <c r="J34" i="23"/>
  <c r="P7" i="25"/>
  <c r="K8" i="25"/>
  <c r="K9" i="25"/>
  <c r="AO34" i="23"/>
  <c r="L10" i="25"/>
  <c r="K19" i="25"/>
  <c r="H8" i="25"/>
  <c r="G14" i="25"/>
  <c r="O11" i="25"/>
  <c r="O23" i="25"/>
  <c r="D17" i="25"/>
  <c r="O13" i="25"/>
  <c r="G21" i="25"/>
  <c r="G10" i="25"/>
  <c r="D19" i="25"/>
  <c r="O9" i="25"/>
  <c r="K10" i="25"/>
  <c r="H15" i="25"/>
  <c r="L19" i="25"/>
  <c r="O21" i="25"/>
  <c r="D15" i="25"/>
  <c r="V18" i="16"/>
  <c r="AD34" i="23"/>
  <c r="AK34" i="23"/>
  <c r="E34" i="23"/>
  <c r="P17" i="25"/>
  <c r="G17" i="25"/>
  <c r="V17" i="16"/>
  <c r="H7" i="25"/>
  <c r="H10" i="25"/>
  <c r="L11" i="25"/>
  <c r="K20" i="25"/>
  <c r="L7" i="25"/>
  <c r="L13" i="25"/>
  <c r="P23" i="25"/>
  <c r="C9" i="25"/>
  <c r="G20" i="25"/>
  <c r="C14" i="25"/>
  <c r="G11" i="25"/>
  <c r="C12" i="25"/>
  <c r="C15" i="25"/>
  <c r="P12" i="25"/>
  <c r="L9" i="25"/>
  <c r="P19" i="25"/>
  <c r="V20" i="16"/>
  <c r="V19" i="16"/>
  <c r="AT34" i="23"/>
  <c r="F34" i="23"/>
  <c r="U34" i="23"/>
  <c r="AG34" i="23"/>
  <c r="O22" i="25"/>
  <c r="L15" i="25"/>
  <c r="C20" i="25"/>
  <c r="G13" i="25"/>
  <c r="D21" i="25"/>
  <c r="P10" i="25"/>
  <c r="G15" i="25"/>
  <c r="K14" i="25"/>
  <c r="O8" i="25"/>
  <c r="H19" i="25"/>
  <c r="G16" i="25"/>
  <c r="G18" i="25"/>
  <c r="K16" i="25"/>
  <c r="P15" i="25"/>
  <c r="G7" i="25"/>
  <c r="G9" i="25"/>
  <c r="V13" i="16"/>
  <c r="V16" i="16"/>
  <c r="AC34" i="23"/>
  <c r="Y34" i="23"/>
  <c r="K22" i="25"/>
  <c r="H12" i="25"/>
  <c r="P18" i="25"/>
  <c r="C13" i="25"/>
  <c r="C7" i="25"/>
  <c r="D16" i="25"/>
  <c r="D10" i="25"/>
  <c r="P13" i="25"/>
  <c r="H17" i="25"/>
  <c r="C17" i="25"/>
  <c r="K18" i="25"/>
  <c r="D14" i="25"/>
  <c r="P16" i="25"/>
  <c r="O17" i="25"/>
  <c r="O10" i="25"/>
  <c r="C16" i="25"/>
  <c r="O19" i="25"/>
  <c r="P20" i="25"/>
  <c r="V14" i="16"/>
  <c r="J30" i="15"/>
  <c r="G12" i="25"/>
  <c r="C8" i="25"/>
  <c r="H21" i="25"/>
  <c r="D18" i="25"/>
  <c r="H13" i="25"/>
  <c r="P22" i="25"/>
  <c r="D9" i="25"/>
  <c r="L22" i="25"/>
  <c r="L8" i="25"/>
  <c r="O14" i="25"/>
  <c r="C22" i="25"/>
  <c r="H18" i="25"/>
  <c r="O16" i="25"/>
  <c r="P11" i="25"/>
  <c r="P21" i="25"/>
  <c r="K21" i="25"/>
  <c r="K13" i="25"/>
  <c r="K17" i="25"/>
  <c r="C11" i="25"/>
  <c r="V15" i="16"/>
  <c r="F14" i="15"/>
  <c r="V34" i="23"/>
  <c r="AP34" i="23"/>
  <c r="I34" i="23"/>
  <c r="H14" i="25"/>
  <c r="D7" i="25"/>
  <c r="O15" i="25"/>
  <c r="AH34" i="23"/>
  <c r="L16" i="25"/>
  <c r="L20" i="25"/>
  <c r="K15" i="25"/>
  <c r="H22" i="25"/>
  <c r="L17" i="25"/>
  <c r="H20" i="25"/>
  <c r="D13" i="25"/>
  <c r="D12" i="25"/>
  <c r="H11" i="25"/>
  <c r="O20" i="25"/>
  <c r="D11" i="25"/>
  <c r="L12" i="25"/>
  <c r="M11" i="23" s="1"/>
  <c r="P8" i="25"/>
  <c r="H9" i="25"/>
  <c r="D20" i="25"/>
  <c r="O7" i="25"/>
  <c r="E35" i="23" s="1"/>
  <c r="F35" i="23" s="1"/>
  <c r="V22" i="16"/>
  <c r="J14" i="15"/>
  <c r="AL34" i="23"/>
  <c r="Z34" i="23"/>
  <c r="AS34" i="23"/>
  <c r="AO33" i="23"/>
  <c r="G8" i="25"/>
  <c r="P9" i="25"/>
  <c r="C18" i="25"/>
  <c r="Q8" i="15"/>
  <c r="R30" i="15"/>
  <c r="U30" i="15"/>
  <c r="U12" i="15"/>
  <c r="Y30" i="15"/>
  <c r="Y10" i="15"/>
  <c r="AP14" i="15"/>
  <c r="I13" i="22"/>
  <c r="AT32" i="22"/>
  <c r="V32" i="22"/>
  <c r="Z32" i="22"/>
  <c r="U26" i="22"/>
  <c r="E11" i="22"/>
  <c r="U24" i="22"/>
  <c r="Y24" i="22"/>
  <c r="U7" i="22"/>
  <c r="AD15" i="23"/>
  <c r="Z15" i="23"/>
  <c r="AT15" i="23"/>
  <c r="Y27" i="23"/>
  <c r="Y9" i="23"/>
  <c r="AP32" i="23"/>
  <c r="Y24" i="23"/>
  <c r="AL15" i="23"/>
  <c r="N15" i="22"/>
  <c r="U12" i="22"/>
  <c r="AP33" i="23"/>
  <c r="AH32" i="23"/>
  <c r="Y36" i="23"/>
  <c r="U31" i="23"/>
  <c r="U12" i="23"/>
  <c r="U8" i="15"/>
  <c r="AT14" i="15"/>
  <c r="Q30" i="15"/>
  <c r="Q10" i="15"/>
  <c r="U9" i="15"/>
  <c r="V30" i="15"/>
  <c r="Q23" i="15"/>
  <c r="Q25" i="22"/>
  <c r="Q26" i="22"/>
  <c r="Q15" i="22"/>
  <c r="Y26" i="22"/>
  <c r="Q7" i="22"/>
  <c r="F15" i="22"/>
  <c r="Q30" i="22"/>
  <c r="Q11" i="22"/>
  <c r="Y29" i="22"/>
  <c r="Y32" i="23"/>
  <c r="Y8" i="23"/>
  <c r="Z32" i="23"/>
  <c r="U24" i="23"/>
  <c r="N11" i="23"/>
  <c r="Y15" i="22"/>
  <c r="U13" i="22"/>
  <c r="U11" i="23"/>
  <c r="Y31" i="23"/>
  <c r="AT32" i="23"/>
  <c r="Y13" i="22"/>
  <c r="U28" i="15"/>
  <c r="U14" i="15"/>
  <c r="U23" i="15"/>
  <c r="AL30" i="15"/>
  <c r="Q14" i="15"/>
  <c r="Y9" i="15"/>
  <c r="AD14" i="15"/>
  <c r="I11" i="22"/>
  <c r="Q10" i="22"/>
  <c r="Q24" i="22"/>
  <c r="AD32" i="22"/>
  <c r="Q8" i="22"/>
  <c r="Q13" i="22"/>
  <c r="Y27" i="22"/>
  <c r="Q27" i="22"/>
  <c r="U27" i="22"/>
  <c r="Y28" i="23"/>
  <c r="J15" i="23"/>
  <c r="V32" i="23"/>
  <c r="AH15" i="23"/>
  <c r="U7" i="23"/>
  <c r="AP15" i="23"/>
  <c r="U29" i="23"/>
  <c r="Y11" i="23"/>
  <c r="U28" i="22"/>
  <c r="AH15" i="22"/>
  <c r="Y25" i="23"/>
  <c r="U32" i="23"/>
  <c r="V15" i="23"/>
  <c r="Y28" i="15"/>
  <c r="Y14" i="15"/>
  <c r="Y8" i="15"/>
  <c r="Y23" i="15"/>
  <c r="AP30" i="15"/>
  <c r="Z14" i="15"/>
  <c r="U10" i="22"/>
  <c r="AL32" i="22"/>
  <c r="Y30" i="22"/>
  <c r="U8" i="22"/>
  <c r="U36" i="23"/>
  <c r="Y12" i="23"/>
  <c r="U27" i="23"/>
  <c r="AP32" i="22"/>
  <c r="F15" i="23"/>
  <c r="Q12" i="15"/>
  <c r="Y26" i="15"/>
  <c r="U10" i="15"/>
  <c r="U7" i="15"/>
  <c r="AD30" i="15"/>
  <c r="Q25" i="15"/>
  <c r="Z15" i="22"/>
  <c r="Q12" i="22"/>
  <c r="Q29" i="22"/>
  <c r="Q9" i="22"/>
  <c r="I30" i="22"/>
  <c r="Y7" i="22"/>
  <c r="AP15" i="22"/>
  <c r="U11" i="22"/>
  <c r="U29" i="22"/>
  <c r="E33" i="23"/>
  <c r="Y15" i="23"/>
  <c r="AL32" i="23"/>
  <c r="U30" i="22"/>
  <c r="M33" i="23"/>
  <c r="F30" i="15"/>
  <c r="N14" i="15"/>
  <c r="Y25" i="15"/>
  <c r="AT30" i="15"/>
  <c r="AL14" i="15"/>
  <c r="N30" i="15"/>
  <c r="Q7" i="15"/>
  <c r="Y12" i="22"/>
  <c r="Y10" i="22"/>
  <c r="Y9" i="22"/>
  <c r="Y25" i="22"/>
  <c r="F32" i="22"/>
  <c r="AL15" i="22"/>
  <c r="Y11" i="22"/>
  <c r="Q28" i="22"/>
  <c r="Y28" i="22"/>
  <c r="AD32" i="23"/>
  <c r="U25" i="23"/>
  <c r="Q11" i="23"/>
  <c r="Y29" i="23"/>
  <c r="Y10" i="23"/>
  <c r="AG33" i="23"/>
  <c r="U10" i="23"/>
  <c r="Y7" i="15"/>
  <c r="V14" i="15"/>
  <c r="Q24" i="15"/>
  <c r="Y32" i="22"/>
  <c r="AD15" i="22"/>
  <c r="U32" i="22"/>
  <c r="U26" i="23"/>
  <c r="Y24" i="15"/>
  <c r="R14" i="15"/>
  <c r="Q26" i="15"/>
  <c r="U24" i="15"/>
  <c r="Q9" i="15"/>
  <c r="Z30" i="15"/>
  <c r="AH14" i="15"/>
  <c r="I28" i="22"/>
  <c r="U15" i="22"/>
  <c r="R32" i="22"/>
  <c r="Q32" i="22"/>
  <c r="Y8" i="22"/>
  <c r="U25" i="22"/>
  <c r="U9" i="22"/>
  <c r="AT15" i="22"/>
  <c r="R15" i="22"/>
  <c r="U28" i="23"/>
  <c r="U15" i="23"/>
  <c r="J32" i="23"/>
  <c r="U9" i="23"/>
  <c r="Y26" i="23"/>
  <c r="F32" i="23"/>
  <c r="Y14" i="23"/>
  <c r="Y7" i="23"/>
  <c r="AH30" i="15"/>
  <c r="U26" i="15"/>
  <c r="Q28" i="15"/>
  <c r="U25" i="15"/>
  <c r="V15" i="22"/>
  <c r="AH32" i="22"/>
  <c r="N32" i="22"/>
  <c r="U8" i="23"/>
  <c r="U14" i="23"/>
  <c r="Q31" i="23"/>
  <c r="R31" i="23" s="1"/>
  <c r="Q35" i="23"/>
  <c r="R35" i="23" s="1"/>
  <c r="Q33" i="23"/>
  <c r="R33" i="23" s="1"/>
  <c r="Q36" i="23"/>
  <c r="R36" i="23" s="1"/>
  <c r="AS35" i="23"/>
  <c r="AT35" i="23" s="1"/>
  <c r="AO16" i="23"/>
  <c r="AP16" i="23" s="1"/>
  <c r="M14" i="23"/>
  <c r="N14" i="23" s="1"/>
  <c r="M16" i="23"/>
  <c r="N16" i="23" s="1"/>
  <c r="I16" i="23"/>
  <c r="J16" i="23" s="1"/>
  <c r="E16" i="23"/>
  <c r="F16" i="23" s="1"/>
  <c r="AS16" i="23"/>
  <c r="AT16" i="23" s="1"/>
  <c r="AK16" i="23"/>
  <c r="AL16" i="23" s="1"/>
  <c r="AG16" i="23"/>
  <c r="AH16" i="23" s="1"/>
  <c r="AK33" i="23"/>
  <c r="AL33" i="23" s="1"/>
  <c r="AK35" i="23"/>
  <c r="AL35" i="23" s="1"/>
  <c r="U33" i="23"/>
  <c r="V33" i="23" s="1"/>
  <c r="U35" i="23"/>
  <c r="V35" i="23" s="1"/>
  <c r="AC33" i="23"/>
  <c r="AD33" i="23" s="1"/>
  <c r="AC35" i="23"/>
  <c r="AD35" i="23" s="1"/>
  <c r="M28" i="23"/>
  <c r="Q28" i="23"/>
  <c r="Q14" i="23"/>
  <c r="R14" i="23" s="1"/>
  <c r="Q16" i="23"/>
  <c r="R16" i="23" s="1"/>
  <c r="Y33" i="23"/>
  <c r="Z33" i="23" s="1"/>
  <c r="Y35" i="23"/>
  <c r="Z35" i="23" s="1"/>
  <c r="AC16" i="23"/>
  <c r="AD16" i="23" s="1"/>
  <c r="Y16" i="23"/>
  <c r="Z16" i="23" s="1"/>
  <c r="U16" i="23"/>
  <c r="V16" i="23" s="1"/>
  <c r="M31" i="23"/>
  <c r="N31" i="23" s="1"/>
  <c r="AS33" i="23"/>
  <c r="AT33" i="23" s="1"/>
  <c r="M36" i="23"/>
  <c r="N36" i="23" s="1"/>
  <c r="M35" i="23"/>
  <c r="N35" i="23" s="1"/>
  <c r="AG35" i="23"/>
  <c r="AH35" i="23" s="1"/>
  <c r="I33" i="23"/>
  <c r="J33" i="23" s="1"/>
  <c r="I35" i="23"/>
  <c r="J35" i="23" s="1"/>
  <c r="AO35" i="23"/>
  <c r="AP35" i="23" s="1"/>
  <c r="N28" i="23"/>
  <c r="R28" i="23"/>
  <c r="T27" i="23"/>
  <c r="T10" i="23"/>
  <c r="L10" i="15"/>
  <c r="L27" i="22"/>
  <c r="L10" i="22"/>
  <c r="P10" i="23"/>
  <c r="P27" i="23"/>
  <c r="L26" i="15"/>
  <c r="S28" i="23" l="1"/>
  <c r="S29" i="23" s="1"/>
  <c r="S30" i="23" s="1"/>
  <c r="S31" i="23" s="1"/>
  <c r="S32" i="23" s="1"/>
  <c r="S33" i="23" s="1"/>
  <c r="S34" i="23" s="1"/>
  <c r="S35" i="23" s="1"/>
  <c r="S36" i="23" s="1"/>
  <c r="S37" i="23" s="1"/>
  <c r="O28" i="23"/>
  <c r="O29" i="23" s="1"/>
  <c r="O30" i="23" s="1"/>
  <c r="O31" i="23" s="1"/>
  <c r="O32" i="23" s="1"/>
  <c r="O33" i="23" s="1"/>
  <c r="O34" i="23" s="1"/>
  <c r="O11" i="23"/>
  <c r="O12" i="23" s="1"/>
  <c r="O13" i="23" s="1"/>
  <c r="O14" i="23" s="1"/>
  <c r="O15" i="23" s="1"/>
  <c r="O16" i="23" s="1"/>
  <c r="S11" i="23"/>
  <c r="K11" i="22"/>
  <c r="K12" i="22" s="1"/>
  <c r="K13" i="22" s="1"/>
  <c r="K14" i="22" s="1"/>
  <c r="K15" i="22" s="1"/>
  <c r="K28" i="22"/>
  <c r="AA23" i="15"/>
  <c r="AA24" i="15" s="1"/>
  <c r="AA25" i="15" s="1"/>
  <c r="AA26" i="15" s="1"/>
  <c r="W23" i="15"/>
  <c r="W24" i="15" s="1"/>
  <c r="W25" i="15" s="1"/>
  <c r="W26" i="15" s="1"/>
  <c r="AA7" i="15"/>
  <c r="AA8" i="15" s="1"/>
  <c r="AA9" i="15" s="1"/>
  <c r="AA10" i="15" s="1"/>
  <c r="AA7" i="23"/>
  <c r="AA8" i="23" s="1"/>
  <c r="AA9" i="23" s="1"/>
  <c r="AA10" i="23" s="1"/>
  <c r="AA11" i="23" s="1"/>
  <c r="AA12" i="23" s="1"/>
  <c r="AA7" i="22"/>
  <c r="AA8" i="22" s="1"/>
  <c r="AA9" i="22" s="1"/>
  <c r="AA10" i="22" s="1"/>
  <c r="AA11" i="22" s="1"/>
  <c r="AA12" i="22" s="1"/>
  <c r="AA13" i="22" s="1"/>
  <c r="S24" i="22"/>
  <c r="S25" i="22" s="1"/>
  <c r="S26" i="22" s="1"/>
  <c r="S27" i="22" s="1"/>
  <c r="S28" i="22" s="1"/>
  <c r="S29" i="22" s="1"/>
  <c r="S7" i="22"/>
  <c r="S8" i="22" s="1"/>
  <c r="S9" i="22" s="1"/>
  <c r="S10" i="22" s="1"/>
  <c r="S11" i="22" s="1"/>
  <c r="S12" i="22" s="1"/>
  <c r="S13" i="22" s="1"/>
  <c r="S23" i="15"/>
  <c r="S24" i="15" s="1"/>
  <c r="S25" i="15" s="1"/>
  <c r="S26" i="15" s="1"/>
  <c r="W7" i="15"/>
  <c r="W8" i="15" s="1"/>
  <c r="W9" i="15" s="1"/>
  <c r="W10" i="15" s="1"/>
  <c r="AA24" i="23"/>
  <c r="AA25" i="23" s="1"/>
  <c r="AA26" i="23" s="1"/>
  <c r="AA27" i="23" s="1"/>
  <c r="AA28" i="23" s="1"/>
  <c r="AA29" i="23" s="1"/>
  <c r="S7" i="15"/>
  <c r="S8" i="15" s="1"/>
  <c r="S9" i="15" s="1"/>
  <c r="S10" i="15" s="1"/>
  <c r="W24" i="23"/>
  <c r="W25" i="23" s="1"/>
  <c r="W26" i="23" s="1"/>
  <c r="W27" i="23" s="1"/>
  <c r="W28" i="23" s="1"/>
  <c r="W29" i="23" s="1"/>
  <c r="W7" i="23"/>
  <c r="W8" i="23" s="1"/>
  <c r="W9" i="23" s="1"/>
  <c r="W10" i="23" s="1"/>
  <c r="W11" i="23" s="1"/>
  <c r="W12" i="23" s="1"/>
  <c r="W24" i="22"/>
  <c r="W25" i="22" s="1"/>
  <c r="W26" i="22" s="1"/>
  <c r="W27" i="22" s="1"/>
  <c r="W28" i="22" s="1"/>
  <c r="W29" i="22" s="1"/>
  <c r="W7" i="22"/>
  <c r="W8" i="22" s="1"/>
  <c r="W9" i="22" s="1"/>
  <c r="W10" i="22" s="1"/>
  <c r="W11" i="22" s="1"/>
  <c r="W12" i="22" s="1"/>
  <c r="W13" i="22" s="1"/>
  <c r="AA24" i="22"/>
  <c r="AA25" i="22" s="1"/>
  <c r="AA26" i="22" s="1"/>
  <c r="AA27" i="22" s="1"/>
  <c r="AA28" i="22" s="1"/>
  <c r="AA29" i="22" s="1"/>
  <c r="T23" i="24"/>
  <c r="T29" i="24"/>
  <c r="R23" i="15"/>
  <c r="V10" i="15"/>
  <c r="AG9" i="15"/>
  <c r="M14" i="15"/>
  <c r="AG23" i="15"/>
  <c r="AC9" i="15"/>
  <c r="AC24" i="15"/>
  <c r="R24" i="15"/>
  <c r="AG24" i="15"/>
  <c r="AK28" i="15"/>
  <c r="AK28" i="22"/>
  <c r="V28" i="22"/>
  <c r="E30" i="22"/>
  <c r="AK11" i="22"/>
  <c r="V30" i="22"/>
  <c r="M15" i="22"/>
  <c r="V8" i="22"/>
  <c r="AG15" i="22"/>
  <c r="AC30" i="22"/>
  <c r="AC24" i="22"/>
  <c r="AC11" i="22"/>
  <c r="AC8" i="22"/>
  <c r="AK13" i="22"/>
  <c r="J28" i="22"/>
  <c r="I24" i="23"/>
  <c r="AK29" i="23"/>
  <c r="V11" i="23"/>
  <c r="I31" i="23"/>
  <c r="Z7" i="23"/>
  <c r="V27" i="23"/>
  <c r="F33" i="23"/>
  <c r="AO14" i="23"/>
  <c r="AC9" i="23"/>
  <c r="AG29" i="23"/>
  <c r="I15" i="23"/>
  <c r="AG10" i="15"/>
  <c r="AK23" i="15"/>
  <c r="Z24" i="15"/>
  <c r="M9" i="22"/>
  <c r="AC26" i="22"/>
  <c r="M11" i="22"/>
  <c r="AG15" i="23"/>
  <c r="Z14" i="23"/>
  <c r="Z8" i="23"/>
  <c r="T32" i="24"/>
  <c r="T20" i="24"/>
  <c r="T21" i="24"/>
  <c r="AK30" i="15"/>
  <c r="AC8" i="15"/>
  <c r="AK8" i="15"/>
  <c r="Z28" i="15"/>
  <c r="AK7" i="15"/>
  <c r="AC26" i="15"/>
  <c r="M10" i="15"/>
  <c r="AC23" i="15"/>
  <c r="R25" i="15"/>
  <c r="R7" i="15"/>
  <c r="AK10" i="22"/>
  <c r="Z26" i="22"/>
  <c r="J13" i="22"/>
  <c r="AG32" i="22"/>
  <c r="AG26" i="22"/>
  <c r="AG11" i="22"/>
  <c r="R30" i="22"/>
  <c r="AC32" i="22"/>
  <c r="Z8" i="22"/>
  <c r="Z13" i="22"/>
  <c r="Z28" i="22"/>
  <c r="V11" i="22"/>
  <c r="R9" i="22"/>
  <c r="V25" i="22"/>
  <c r="Z31" i="23"/>
  <c r="AC27" i="23"/>
  <c r="AC29" i="23"/>
  <c r="I11" i="23"/>
  <c r="Z9" i="23"/>
  <c r="AS14" i="23"/>
  <c r="AG27" i="23"/>
  <c r="V9" i="23"/>
  <c r="I29" i="23"/>
  <c r="AK31" i="23"/>
  <c r="Z11" i="23"/>
  <c r="AG10" i="23"/>
  <c r="AC26" i="23"/>
  <c r="Z26" i="23"/>
  <c r="T13" i="24"/>
  <c r="AK25" i="15"/>
  <c r="AG7" i="22"/>
  <c r="AC28" i="23"/>
  <c r="AK9" i="23"/>
  <c r="T16" i="24"/>
  <c r="T18" i="24"/>
  <c r="T24" i="24"/>
  <c r="V12" i="15"/>
  <c r="V8" i="15"/>
  <c r="V26" i="15"/>
  <c r="Z23" i="15"/>
  <c r="M9" i="15"/>
  <c r="AG30" i="15"/>
  <c r="AC12" i="15"/>
  <c r="R26" i="15"/>
  <c r="AC10" i="15"/>
  <c r="M7" i="22"/>
  <c r="V10" i="22"/>
  <c r="Z30" i="22"/>
  <c r="R27" i="22"/>
  <c r="R11" i="22"/>
  <c r="V9" i="22"/>
  <c r="Z25" i="22"/>
  <c r="M10" i="22"/>
  <c r="AK24" i="22"/>
  <c r="AG24" i="22"/>
  <c r="R29" i="22"/>
  <c r="Z24" i="22"/>
  <c r="AC13" i="22"/>
  <c r="AK27" i="22"/>
  <c r="R10" i="22"/>
  <c r="AC32" i="23"/>
  <c r="AK8" i="23"/>
  <c r="AS36" i="23"/>
  <c r="AK24" i="23"/>
  <c r="AS31" i="23"/>
  <c r="AG11" i="23"/>
  <c r="AO36" i="23"/>
  <c r="V14" i="23"/>
  <c r="AK28" i="23"/>
  <c r="Z24" i="23"/>
  <c r="R11" i="23"/>
  <c r="AC15" i="23"/>
  <c r="N33" i="23"/>
  <c r="AC36" i="23"/>
  <c r="V28" i="15"/>
  <c r="AK26" i="15"/>
  <c r="AC30" i="15"/>
  <c r="AG8" i="15"/>
  <c r="AG8" i="22"/>
  <c r="M24" i="22"/>
  <c r="I36" i="23"/>
  <c r="AG36" i="23"/>
  <c r="T28" i="24"/>
  <c r="T17" i="24"/>
  <c r="T22" i="24"/>
  <c r="AK12" i="15"/>
  <c r="Z26" i="15"/>
  <c r="M26" i="15"/>
  <c r="Z7" i="15"/>
  <c r="AC28" i="15"/>
  <c r="AK10" i="15"/>
  <c r="AC25" i="15"/>
  <c r="R28" i="15"/>
  <c r="AK9" i="15"/>
  <c r="AK32" i="22"/>
  <c r="R8" i="22"/>
  <c r="R25" i="22"/>
  <c r="AK8" i="22"/>
  <c r="AG27" i="22"/>
  <c r="M30" i="22"/>
  <c r="M13" i="22"/>
  <c r="AG30" i="22"/>
  <c r="V27" i="22"/>
  <c r="V7" i="22"/>
  <c r="J30" i="22"/>
  <c r="Z11" i="22"/>
  <c r="AC28" i="22"/>
  <c r="AG29" i="22"/>
  <c r="AK12" i="22"/>
  <c r="Z36" i="23"/>
  <c r="I9" i="23"/>
  <c r="I26" i="23"/>
  <c r="Z25" i="23"/>
  <c r="AG7" i="23"/>
  <c r="AK25" i="23"/>
  <c r="I8" i="23"/>
  <c r="I27" i="23"/>
  <c r="AG32" i="23"/>
  <c r="AC7" i="23"/>
  <c r="AC31" i="23"/>
  <c r="AC24" i="23"/>
  <c r="Z10" i="23"/>
  <c r="T26" i="24"/>
  <c r="V23" i="15"/>
  <c r="M7" i="15"/>
  <c r="R7" i="22"/>
  <c r="AG12" i="22"/>
  <c r="Z9" i="22"/>
  <c r="AG12" i="23"/>
  <c r="AG14" i="23"/>
  <c r="T12" i="24"/>
  <c r="T25" i="24"/>
  <c r="M30" i="15"/>
  <c r="M24" i="15"/>
  <c r="AG26" i="15"/>
  <c r="AG7" i="15"/>
  <c r="V25" i="15"/>
  <c r="AG14" i="15"/>
  <c r="R12" i="15"/>
  <c r="V7" i="15"/>
  <c r="Z10" i="15"/>
  <c r="V9" i="15"/>
  <c r="V24" i="22"/>
  <c r="AS30" i="22"/>
  <c r="Z7" i="22"/>
  <c r="M8" i="22"/>
  <c r="V29" i="22"/>
  <c r="M27" i="22"/>
  <c r="AC29" i="22"/>
  <c r="AK25" i="22"/>
  <c r="AC7" i="22"/>
  <c r="M29" i="22"/>
  <c r="M28" i="22"/>
  <c r="AG28" i="22"/>
  <c r="V26" i="22"/>
  <c r="AS13" i="22"/>
  <c r="Z12" i="22"/>
  <c r="AK12" i="23"/>
  <c r="V25" i="23"/>
  <c r="I7" i="23"/>
  <c r="AG28" i="23"/>
  <c r="V31" i="23"/>
  <c r="Z27" i="23"/>
  <c r="AK11" i="23"/>
  <c r="AK26" i="23"/>
  <c r="I12" i="23"/>
  <c r="Z12" i="23"/>
  <c r="AG25" i="23"/>
  <c r="AK10" i="23"/>
  <c r="V36" i="23"/>
  <c r="AG13" i="22"/>
  <c r="AK9" i="22"/>
  <c r="AO31" i="23"/>
  <c r="AC14" i="23"/>
  <c r="T27" i="24"/>
  <c r="T14" i="24"/>
  <c r="AK24" i="15"/>
  <c r="AC7" i="15"/>
  <c r="M8" i="15"/>
  <c r="Z25" i="15"/>
  <c r="Z8" i="15"/>
  <c r="V24" i="15"/>
  <c r="M12" i="15"/>
  <c r="R8" i="15"/>
  <c r="AK14" i="15"/>
  <c r="AG12" i="15"/>
  <c r="AC15" i="22"/>
  <c r="Z29" i="22"/>
  <c r="M12" i="22"/>
  <c r="R28" i="22"/>
  <c r="M25" i="22"/>
  <c r="R26" i="22"/>
  <c r="J11" i="22"/>
  <c r="M32" i="22"/>
  <c r="AC9" i="22"/>
  <c r="AC27" i="22"/>
  <c r="AO30" i="22"/>
  <c r="AK30" i="22"/>
  <c r="AO13" i="22"/>
  <c r="AC10" i="22"/>
  <c r="Z27" i="22"/>
  <c r="AK36" i="23"/>
  <c r="V12" i="23"/>
  <c r="AG31" i="23"/>
  <c r="AC8" i="23"/>
  <c r="V24" i="23"/>
  <c r="V10" i="23"/>
  <c r="AC12" i="23"/>
  <c r="AK32" i="23"/>
  <c r="V7" i="23"/>
  <c r="AK15" i="23"/>
  <c r="V26" i="23"/>
  <c r="Z28" i="23"/>
  <c r="AK14" i="23"/>
  <c r="I10" i="23"/>
  <c r="E14" i="23"/>
  <c r="AK29" i="22"/>
  <c r="R24" i="22"/>
  <c r="Z29" i="23"/>
  <c r="AG8" i="23"/>
  <c r="T15" i="24"/>
  <c r="T31" i="24"/>
  <c r="M25" i="15"/>
  <c r="AG28" i="15"/>
  <c r="Z12" i="15"/>
  <c r="M23" i="15"/>
  <c r="R10" i="15"/>
  <c r="M28" i="15"/>
  <c r="AC14" i="15"/>
  <c r="Z9" i="15"/>
  <c r="AG25" i="15"/>
  <c r="R9" i="15"/>
  <c r="AG10" i="22"/>
  <c r="AC12" i="22"/>
  <c r="AC25" i="22"/>
  <c r="V12" i="22"/>
  <c r="Z10" i="22"/>
  <c r="AG25" i="22"/>
  <c r="M26" i="22"/>
  <c r="AG9" i="22"/>
  <c r="AK15" i="22"/>
  <c r="R12" i="22"/>
  <c r="AK26" i="22"/>
  <c r="R13" i="22"/>
  <c r="V13" i="22"/>
  <c r="E13" i="22"/>
  <c r="V28" i="23"/>
  <c r="I32" i="23"/>
  <c r="AG24" i="23"/>
  <c r="I14" i="23"/>
  <c r="E31" i="23"/>
  <c r="AC25" i="23"/>
  <c r="AC10" i="23"/>
  <c r="V29" i="23"/>
  <c r="I25" i="23"/>
  <c r="AK7" i="23"/>
  <c r="AG9" i="23"/>
  <c r="AH33" i="23"/>
  <c r="AG26" i="23"/>
  <c r="V8" i="23"/>
  <c r="AC11" i="23"/>
  <c r="E36" i="23"/>
  <c r="AK7" i="22"/>
  <c r="AK27" i="23"/>
  <c r="I28" i="23"/>
  <c r="T28" i="23"/>
  <c r="P11" i="23"/>
  <c r="P28" i="23"/>
  <c r="Q36" i="24"/>
  <c r="O35" i="23" l="1"/>
  <c r="O36" i="23" s="1"/>
  <c r="O37" i="23" s="1"/>
  <c r="S12" i="23"/>
  <c r="K29" i="22"/>
  <c r="S129" i="24"/>
  <c r="S131" i="24"/>
  <c r="S130" i="24"/>
  <c r="T116" i="24"/>
  <c r="T117" i="24"/>
  <c r="T119" i="24"/>
  <c r="T115" i="24"/>
  <c r="S117" i="24"/>
  <c r="H116" i="24"/>
  <c r="H115" i="24"/>
  <c r="H119" i="24"/>
  <c r="H117" i="24"/>
  <c r="G117" i="24"/>
  <c r="AA30" i="23"/>
  <c r="AA31" i="23" s="1"/>
  <c r="AA32" i="23" s="1"/>
  <c r="AA33" i="23" s="1"/>
  <c r="AA34" i="23" s="1"/>
  <c r="W30" i="23"/>
  <c r="W31" i="23" s="1"/>
  <c r="W32" i="23" s="1"/>
  <c r="W33" i="23" s="1"/>
  <c r="W34" i="23" s="1"/>
  <c r="W13" i="23"/>
  <c r="W14" i="23" s="1"/>
  <c r="AA13" i="23"/>
  <c r="AA14" i="23" s="1"/>
  <c r="W30" i="22"/>
  <c r="AA30" i="22"/>
  <c r="S30" i="22"/>
  <c r="S14" i="22"/>
  <c r="S15" i="22" s="1"/>
  <c r="W14" i="22"/>
  <c r="W15" i="22" s="1"/>
  <c r="AA14" i="22"/>
  <c r="AA15" i="22" s="1"/>
  <c r="AE24" i="23"/>
  <c r="AE25" i="23" s="1"/>
  <c r="AE26" i="23" s="1"/>
  <c r="AE27" i="23" s="1"/>
  <c r="AE28" i="23" s="1"/>
  <c r="AE29" i="23" s="1"/>
  <c r="AE7" i="23"/>
  <c r="AE8" i="23" s="1"/>
  <c r="AE9" i="23" s="1"/>
  <c r="AE10" i="23" s="1"/>
  <c r="AE11" i="23" s="1"/>
  <c r="AE12" i="23" s="1"/>
  <c r="K7" i="23"/>
  <c r="K8" i="23" s="1"/>
  <c r="K9" i="23" s="1"/>
  <c r="K10" i="23" s="1"/>
  <c r="K11" i="23" s="1"/>
  <c r="K12" i="23" s="1"/>
  <c r="K24" i="23"/>
  <c r="K25" i="23" s="1"/>
  <c r="K26" i="23" s="1"/>
  <c r="K27" i="23" s="1"/>
  <c r="K28" i="23" s="1"/>
  <c r="K29" i="23" s="1"/>
  <c r="AI7" i="23"/>
  <c r="AI8" i="23" s="1"/>
  <c r="AI9" i="23" s="1"/>
  <c r="AI10" i="23" s="1"/>
  <c r="AI11" i="23" s="1"/>
  <c r="AI12" i="23" s="1"/>
  <c r="AI24" i="23"/>
  <c r="AI25" i="23" s="1"/>
  <c r="AI26" i="23" s="1"/>
  <c r="AI27" i="23" s="1"/>
  <c r="AI28" i="23" s="1"/>
  <c r="AI29" i="23" s="1"/>
  <c r="AM7" i="23"/>
  <c r="AM8" i="23" s="1"/>
  <c r="AM9" i="23" s="1"/>
  <c r="AM10" i="23" s="1"/>
  <c r="AM11" i="23" s="1"/>
  <c r="AM12" i="23" s="1"/>
  <c r="AM24" i="23"/>
  <c r="AM25" i="23" s="1"/>
  <c r="AM26" i="23" s="1"/>
  <c r="AM27" i="23" s="1"/>
  <c r="AM28" i="23" s="1"/>
  <c r="AM29" i="23" s="1"/>
  <c r="AE24" i="22"/>
  <c r="AE25" i="22" s="1"/>
  <c r="AE26" i="22" s="1"/>
  <c r="AE27" i="22" s="1"/>
  <c r="AE28" i="22" s="1"/>
  <c r="AE29" i="22" s="1"/>
  <c r="AE7" i="22"/>
  <c r="AE8" i="22" s="1"/>
  <c r="AE9" i="22" s="1"/>
  <c r="AE10" i="22" s="1"/>
  <c r="AE11" i="22" s="1"/>
  <c r="AE12" i="22" s="1"/>
  <c r="AE13" i="22" s="1"/>
  <c r="O7" i="22"/>
  <c r="O8" i="22" s="1"/>
  <c r="O9" i="22" s="1"/>
  <c r="O10" i="22" s="1"/>
  <c r="O11" i="22" s="1"/>
  <c r="O12" i="22" s="1"/>
  <c r="O13" i="22" s="1"/>
  <c r="AI24" i="22"/>
  <c r="AI25" i="22" s="1"/>
  <c r="AI26" i="22" s="1"/>
  <c r="AI27" i="22" s="1"/>
  <c r="AI28" i="22" s="1"/>
  <c r="AI29" i="22" s="1"/>
  <c r="AI7" i="22"/>
  <c r="AI8" i="22" s="1"/>
  <c r="AI9" i="22" s="1"/>
  <c r="AI10" i="22" s="1"/>
  <c r="AI11" i="22" s="1"/>
  <c r="AI12" i="22" s="1"/>
  <c r="AI13" i="22" s="1"/>
  <c r="O24" i="22"/>
  <c r="O25" i="22" s="1"/>
  <c r="O26" i="22" s="1"/>
  <c r="O27" i="22" s="1"/>
  <c r="O28" i="22" s="1"/>
  <c r="O29" i="22" s="1"/>
  <c r="AM24" i="22"/>
  <c r="AM25" i="22" s="1"/>
  <c r="AM26" i="22" s="1"/>
  <c r="AM27" i="22" s="1"/>
  <c r="AM28" i="22" s="1"/>
  <c r="AM29" i="22" s="1"/>
  <c r="AM7" i="22"/>
  <c r="AM8" i="22" s="1"/>
  <c r="AM9" i="22" s="1"/>
  <c r="AM10" i="22" s="1"/>
  <c r="AM11" i="22" s="1"/>
  <c r="AM12" i="22" s="1"/>
  <c r="AM13" i="22" s="1"/>
  <c r="AI7" i="15"/>
  <c r="AI8" i="15" s="1"/>
  <c r="AI9" i="15" s="1"/>
  <c r="AI10" i="15" s="1"/>
  <c r="AI23" i="15"/>
  <c r="AI24" i="15" s="1"/>
  <c r="AI25" i="15" s="1"/>
  <c r="AI26" i="15" s="1"/>
  <c r="AM23" i="15"/>
  <c r="AM24" i="15" s="1"/>
  <c r="AM25" i="15" s="1"/>
  <c r="AM26" i="15" s="1"/>
  <c r="AM7" i="15"/>
  <c r="AM8" i="15" s="1"/>
  <c r="AM9" i="15" s="1"/>
  <c r="AM10" i="15" s="1"/>
  <c r="O23" i="15"/>
  <c r="O24" i="15" s="1"/>
  <c r="O25" i="15" s="1"/>
  <c r="O26" i="15" s="1"/>
  <c r="O7" i="15"/>
  <c r="O8" i="15" s="1"/>
  <c r="O9" i="15" s="1"/>
  <c r="O10" i="15" s="1"/>
  <c r="AE7" i="15"/>
  <c r="AE8" i="15" s="1"/>
  <c r="AE9" i="15" s="1"/>
  <c r="AE10" i="15" s="1"/>
  <c r="AE23" i="15"/>
  <c r="AE24" i="15" s="1"/>
  <c r="AE25" i="15" s="1"/>
  <c r="AE26" i="15" s="1"/>
  <c r="V12" i="16"/>
  <c r="V8" i="16"/>
  <c r="AH10" i="15"/>
  <c r="AL12" i="15"/>
  <c r="AL9" i="15"/>
  <c r="E7" i="15"/>
  <c r="E30" i="15"/>
  <c r="E26" i="15"/>
  <c r="AO7" i="15"/>
  <c r="AD10" i="15"/>
  <c r="AH28" i="15"/>
  <c r="N12" i="15"/>
  <c r="AD26" i="15"/>
  <c r="E25" i="15"/>
  <c r="AL11" i="22"/>
  <c r="E32" i="22"/>
  <c r="AS24" i="22"/>
  <c r="AH8" i="22"/>
  <c r="AS7" i="22"/>
  <c r="E27" i="22"/>
  <c r="N9" i="22"/>
  <c r="AH26" i="22"/>
  <c r="AH7" i="22"/>
  <c r="AD12" i="22"/>
  <c r="E25" i="23"/>
  <c r="AO32" i="23"/>
  <c r="AD24" i="23"/>
  <c r="AL25" i="23"/>
  <c r="E9" i="23"/>
  <c r="AS12" i="23"/>
  <c r="AH10" i="23"/>
  <c r="E29" i="23"/>
  <c r="AS25" i="23"/>
  <c r="J29" i="23"/>
  <c r="AL7" i="23"/>
  <c r="AS24" i="23"/>
  <c r="AS10" i="23"/>
  <c r="AS28" i="23"/>
  <c r="J36" i="23"/>
  <c r="U33" i="24"/>
  <c r="AS30" i="15"/>
  <c r="AS8" i="22"/>
  <c r="AO12" i="23"/>
  <c r="AD29" i="23"/>
  <c r="S12" i="16"/>
  <c r="S7" i="16"/>
  <c r="N9" i="15"/>
  <c r="AD12" i="15"/>
  <c r="AS14" i="15"/>
  <c r="AS9" i="15"/>
  <c r="AS28" i="15"/>
  <c r="E8" i="15"/>
  <c r="AH9" i="15"/>
  <c r="AS10" i="15"/>
  <c r="AS12" i="22"/>
  <c r="AL30" i="22"/>
  <c r="AD10" i="22"/>
  <c r="AO10" i="22"/>
  <c r="AL27" i="22"/>
  <c r="AO7" i="22"/>
  <c r="AO12" i="22"/>
  <c r="AL24" i="22"/>
  <c r="AH10" i="22"/>
  <c r="AP30" i="22"/>
  <c r="N29" i="22"/>
  <c r="N28" i="22"/>
  <c r="E7" i="22"/>
  <c r="AO15" i="22"/>
  <c r="AD25" i="23"/>
  <c r="J7" i="23"/>
  <c r="AD12" i="23"/>
  <c r="J27" i="23"/>
  <c r="AP31" i="23"/>
  <c r="AO28" i="23"/>
  <c r="AH29" i="23"/>
  <c r="AO25" i="23"/>
  <c r="AL11" i="23"/>
  <c r="AD36" i="23"/>
  <c r="AH9" i="23"/>
  <c r="AO11" i="23"/>
  <c r="AH8" i="23"/>
  <c r="AO25" i="15"/>
  <c r="AD13" i="22"/>
  <c r="AL27" i="23"/>
  <c r="J25" i="23"/>
  <c r="AP14" i="23"/>
  <c r="V9" i="16"/>
  <c r="S13" i="16"/>
  <c r="V6" i="16"/>
  <c r="AL28" i="15"/>
  <c r="AO12" i="15"/>
  <c r="AS7" i="15"/>
  <c r="AS12" i="15"/>
  <c r="AD23" i="15"/>
  <c r="N24" i="15"/>
  <c r="AO10" i="15"/>
  <c r="AS8" i="15"/>
  <c r="E10" i="22"/>
  <c r="N26" i="22"/>
  <c r="N7" i="22"/>
  <c r="F30" i="22"/>
  <c r="AD26" i="22"/>
  <c r="N12" i="22"/>
  <c r="AS27" i="22"/>
  <c r="AO29" i="22"/>
  <c r="AO11" i="22"/>
  <c r="E12" i="22"/>
  <c r="AH9" i="22"/>
  <c r="E9" i="22"/>
  <c r="AD28" i="22"/>
  <c r="AL12" i="22"/>
  <c r="AS27" i="23"/>
  <c r="AO7" i="23"/>
  <c r="AH24" i="23"/>
  <c r="AD26" i="23"/>
  <c r="AS29" i="23"/>
  <c r="E11" i="23"/>
  <c r="J24" i="23"/>
  <c r="AH14" i="23"/>
  <c r="AT36" i="23"/>
  <c r="E27" i="23"/>
  <c r="AH25" i="23"/>
  <c r="E8" i="23"/>
  <c r="AL12" i="23"/>
  <c r="J31" i="23"/>
  <c r="N8" i="15"/>
  <c r="AS26" i="22"/>
  <c r="AL10" i="23"/>
  <c r="U11" i="24"/>
  <c r="S8" i="16"/>
  <c r="V23" i="16"/>
  <c r="T11" i="24"/>
  <c r="AL7" i="15"/>
  <c r="AH24" i="15"/>
  <c r="N10" i="15"/>
  <c r="N25" i="15"/>
  <c r="AD25" i="15"/>
  <c r="AD9" i="15"/>
  <c r="AL25" i="15"/>
  <c r="AO9" i="15"/>
  <c r="AD24" i="22"/>
  <c r="AH24" i="22"/>
  <c r="AS15" i="22"/>
  <c r="AL25" i="22"/>
  <c r="AD7" i="22"/>
  <c r="AH27" i="22"/>
  <c r="AP13" i="22"/>
  <c r="AS32" i="22"/>
  <c r="AD8" i="22"/>
  <c r="AO32" i="22"/>
  <c r="AO26" i="22"/>
  <c r="AH12" i="23"/>
  <c r="AD31" i="23"/>
  <c r="AH31" i="23"/>
  <c r="J8" i="23"/>
  <c r="AH11" i="23"/>
  <c r="AO24" i="23"/>
  <c r="AH26" i="23"/>
  <c r="AD14" i="23"/>
  <c r="J28" i="23"/>
  <c r="AP36" i="23"/>
  <c r="AH28" i="23"/>
  <c r="AS8" i="23"/>
  <c r="AS9" i="23"/>
  <c r="AL28" i="23"/>
  <c r="AS26" i="23"/>
  <c r="AL10" i="15"/>
  <c r="AS28" i="22"/>
  <c r="AS7" i="23"/>
  <c r="S10" i="16"/>
  <c r="V11" i="16"/>
  <c r="AL8" i="15"/>
  <c r="N7" i="15"/>
  <c r="AH23" i="15"/>
  <c r="AD8" i="15"/>
  <c r="N26" i="15"/>
  <c r="E10" i="15"/>
  <c r="AH12" i="15"/>
  <c r="AT13" i="22"/>
  <c r="AS9" i="22"/>
  <c r="N27" i="22"/>
  <c r="AD29" i="22"/>
  <c r="AO8" i="22"/>
  <c r="AL8" i="22"/>
  <c r="N24" i="22"/>
  <c r="AH13" i="22"/>
  <c r="AH30" i="22"/>
  <c r="AL13" i="22"/>
  <c r="AO27" i="22"/>
  <c r="AS29" i="22"/>
  <c r="AH11" i="22"/>
  <c r="J12" i="23"/>
  <c r="AL14" i="23"/>
  <c r="E24" i="23"/>
  <c r="AO9" i="23"/>
  <c r="E15" i="23"/>
  <c r="AO15" i="23"/>
  <c r="AD27" i="23"/>
  <c r="AD7" i="23"/>
  <c r="AO10" i="23"/>
  <c r="AL26" i="23"/>
  <c r="J11" i="23"/>
  <c r="J26" i="23"/>
  <c r="AD8" i="23"/>
  <c r="AL36" i="23"/>
  <c r="AD10" i="23"/>
  <c r="AH7" i="23"/>
  <c r="F31" i="23"/>
  <c r="AL29" i="23"/>
  <c r="S6" i="16"/>
  <c r="E24" i="15"/>
  <c r="N28" i="15"/>
  <c r="AO23" i="15"/>
  <c r="N8" i="22"/>
  <c r="AS10" i="22"/>
  <c r="AL9" i="23"/>
  <c r="E32" i="23"/>
  <c r="AL31" i="23"/>
  <c r="S14" i="16"/>
  <c r="V7" i="16"/>
  <c r="E28" i="15"/>
  <c r="AH26" i="15"/>
  <c r="AD24" i="15"/>
  <c r="AS25" i="15"/>
  <c r="AL24" i="15"/>
  <c r="AL23" i="15"/>
  <c r="AO28" i="15"/>
  <c r="AS26" i="15"/>
  <c r="E14" i="15"/>
  <c r="AS24" i="15"/>
  <c r="E15" i="22"/>
  <c r="F13" i="22"/>
  <c r="AO28" i="22"/>
  <c r="AL29" i="22"/>
  <c r="AH28" i="22"/>
  <c r="N30" i="22"/>
  <c r="E24" i="22"/>
  <c r="AH25" i="22"/>
  <c r="E25" i="22"/>
  <c r="AO25" i="22"/>
  <c r="AL9" i="22"/>
  <c r="AL7" i="22"/>
  <c r="AD11" i="22"/>
  <c r="N10" i="22"/>
  <c r="AD9" i="22"/>
  <c r="AS25" i="22"/>
  <c r="J10" i="23"/>
  <c r="AD9" i="23"/>
  <c r="E7" i="23"/>
  <c r="J14" i="23"/>
  <c r="AH27" i="23"/>
  <c r="AT14" i="23"/>
  <c r="E10" i="23"/>
  <c r="AO29" i="23"/>
  <c r="AL24" i="23"/>
  <c r="U22" i="24"/>
  <c r="S11" i="16"/>
  <c r="AO8" i="15"/>
  <c r="AH7" i="15"/>
  <c r="AD25" i="22"/>
  <c r="AH29" i="22"/>
  <c r="AH12" i="22"/>
  <c r="E26" i="23"/>
  <c r="AO26" i="23"/>
  <c r="V10" i="16"/>
  <c r="S9" i="16"/>
  <c r="Y32" i="15"/>
  <c r="AC27" i="15"/>
  <c r="AO26" i="15"/>
  <c r="AD28" i="15"/>
  <c r="AO14" i="15"/>
  <c r="AO30" i="15"/>
  <c r="AG27" i="15"/>
  <c r="AS23" i="15"/>
  <c r="N23" i="15"/>
  <c r="AH8" i="15"/>
  <c r="AO24" i="15"/>
  <c r="E23" i="15"/>
  <c r="AH25" i="15"/>
  <c r="AL26" i="15"/>
  <c r="Q16" i="15"/>
  <c r="AO9" i="22"/>
  <c r="AS34" i="22"/>
  <c r="N25" i="22"/>
  <c r="AL28" i="22"/>
  <c r="E29" i="22"/>
  <c r="Q34" i="22"/>
  <c r="Q17" i="22"/>
  <c r="N13" i="22"/>
  <c r="E26" i="22"/>
  <c r="E8" i="22"/>
  <c r="I17" i="22"/>
  <c r="N11" i="22"/>
  <c r="AD30" i="22"/>
  <c r="E28" i="22"/>
  <c r="AL10" i="22"/>
  <c r="AT30" i="22"/>
  <c r="AS32" i="23"/>
  <c r="E28" i="23"/>
  <c r="AT31" i="23"/>
  <c r="E12" i="23"/>
  <c r="F14" i="23"/>
  <c r="AD11" i="23"/>
  <c r="AO27" i="23"/>
  <c r="AL8" i="23"/>
  <c r="AS11" i="23"/>
  <c r="J9" i="23"/>
  <c r="F36" i="23"/>
  <c r="AO8" i="23"/>
  <c r="AD28" i="23"/>
  <c r="AS15" i="23"/>
  <c r="T33" i="24"/>
  <c r="M11" i="15"/>
  <c r="E16" i="15"/>
  <c r="AD7" i="15"/>
  <c r="I32" i="15"/>
  <c r="E12" i="15"/>
  <c r="AD27" i="22"/>
  <c r="AL26" i="22"/>
  <c r="AS11" i="22"/>
  <c r="AO24" i="22"/>
  <c r="AH36" i="23"/>
  <c r="AK31" i="15"/>
  <c r="AL31" i="15" s="1"/>
  <c r="AG31" i="15"/>
  <c r="AH31" i="15" s="1"/>
  <c r="AC31" i="15"/>
  <c r="AD31" i="15" s="1"/>
  <c r="Y31" i="15"/>
  <c r="Z31" i="15" s="1"/>
  <c r="AC15" i="15"/>
  <c r="AD15" i="15" s="1"/>
  <c r="Y15" i="15"/>
  <c r="Z15" i="15" s="1"/>
  <c r="AG15" i="15"/>
  <c r="AH15" i="15" s="1"/>
  <c r="AK15" i="15"/>
  <c r="AL15" i="15" s="1"/>
  <c r="E32" i="15"/>
  <c r="E31" i="15"/>
  <c r="F31" i="15" s="1"/>
  <c r="AS15" i="15"/>
  <c r="AT15" i="15" s="1"/>
  <c r="I31" i="15"/>
  <c r="J31" i="15" s="1"/>
  <c r="AO15" i="15"/>
  <c r="AP15" i="15" s="1"/>
  <c r="AG11" i="15"/>
  <c r="AC11" i="15"/>
  <c r="AS17" i="22"/>
  <c r="E34" i="22"/>
  <c r="AG34" i="22"/>
  <c r="AC17" i="22"/>
  <c r="E17" i="22"/>
  <c r="I34" i="22"/>
  <c r="Y17" i="22"/>
  <c r="AO17" i="22"/>
  <c r="AG17" i="23"/>
  <c r="AH17" i="23" s="1"/>
  <c r="AO17" i="23"/>
  <c r="AP17" i="23" s="1"/>
  <c r="I17" i="23"/>
  <c r="J17" i="23" s="1"/>
  <c r="AS17" i="23"/>
  <c r="AT17" i="23" s="1"/>
  <c r="AK17" i="23"/>
  <c r="AL17" i="23" s="1"/>
  <c r="E17" i="23"/>
  <c r="F17" i="23" s="1"/>
  <c r="AC17" i="23"/>
  <c r="AD17" i="23" s="1"/>
  <c r="AG33" i="22"/>
  <c r="AH33" i="22" s="1"/>
  <c r="AK33" i="22"/>
  <c r="AL33" i="22" s="1"/>
  <c r="I16" i="22"/>
  <c r="M16" i="22"/>
  <c r="N16" i="22" s="1"/>
  <c r="E16" i="22"/>
  <c r="F16" i="22" s="1"/>
  <c r="AS31" i="15"/>
  <c r="AT31" i="15" s="1"/>
  <c r="Q16" i="22"/>
  <c r="R16" i="22" s="1"/>
  <c r="U16" i="22"/>
  <c r="V16" i="22" s="1"/>
  <c r="Y16" i="22"/>
  <c r="Z16" i="22" s="1"/>
  <c r="I33" i="22"/>
  <c r="J33" i="22" s="1"/>
  <c r="E33" i="22"/>
  <c r="F33" i="22" s="1"/>
  <c r="AS16" i="22"/>
  <c r="AT16" i="22" s="1"/>
  <c r="Q33" i="22"/>
  <c r="R33" i="22" s="1"/>
  <c r="M33" i="22"/>
  <c r="N33" i="22" s="1"/>
  <c r="AC16" i="22"/>
  <c r="AD16" i="22" s="1"/>
  <c r="AG16" i="22"/>
  <c r="AH16" i="22" s="1"/>
  <c r="AK16" i="22"/>
  <c r="AL16" i="22" s="1"/>
  <c r="AO16" i="22"/>
  <c r="AP16" i="22" s="1"/>
  <c r="U33" i="22"/>
  <c r="V33" i="22" s="1"/>
  <c r="Y33" i="22"/>
  <c r="Z33" i="22" s="1"/>
  <c r="AC33" i="22"/>
  <c r="AD33" i="22" s="1"/>
  <c r="U17" i="23"/>
  <c r="V17" i="23" s="1"/>
  <c r="Q17" i="23"/>
  <c r="R17" i="23" s="1"/>
  <c r="Y17" i="23"/>
  <c r="Z17" i="23" s="1"/>
  <c r="AO31" i="15"/>
  <c r="AP31" i="15" s="1"/>
  <c r="M17" i="23"/>
  <c r="AS33" i="22"/>
  <c r="AT33" i="22" s="1"/>
  <c r="AO33" i="22"/>
  <c r="AP33" i="22" s="1"/>
  <c r="AC34" i="22"/>
  <c r="AK34" i="22"/>
  <c r="AK17" i="22"/>
  <c r="U34" i="22"/>
  <c r="M34" i="22"/>
  <c r="AG32" i="15"/>
  <c r="AO32" i="15"/>
  <c r="AC32" i="15"/>
  <c r="U31" i="15"/>
  <c r="V31" i="15" s="1"/>
  <c r="I11" i="15"/>
  <c r="E11" i="15"/>
  <c r="AO11" i="15"/>
  <c r="AO27" i="15"/>
  <c r="Y11" i="15"/>
  <c r="AK11" i="15"/>
  <c r="AK27" i="15"/>
  <c r="AS27" i="15"/>
  <c r="M16" i="15"/>
  <c r="I16" i="15"/>
  <c r="Y16" i="15"/>
  <c r="AG16" i="15"/>
  <c r="AK16" i="15"/>
  <c r="U16" i="15"/>
  <c r="AC16" i="15"/>
  <c r="E15" i="15"/>
  <c r="F15" i="15" s="1"/>
  <c r="I15" i="15"/>
  <c r="J15" i="15" s="1"/>
  <c r="M15" i="15"/>
  <c r="N15" i="15" s="1"/>
  <c r="Q15" i="15"/>
  <c r="R15" i="15" s="1"/>
  <c r="U15" i="15"/>
  <c r="V15" i="15" s="1"/>
  <c r="U27" i="15"/>
  <c r="Q11" i="15"/>
  <c r="Y27" i="15"/>
  <c r="Q27" i="15"/>
  <c r="U32" i="15"/>
  <c r="M32" i="15"/>
  <c r="AK32" i="15"/>
  <c r="AO34" i="22"/>
  <c r="AG17" i="22"/>
  <c r="U17" i="22"/>
  <c r="Y34" i="22"/>
  <c r="M17" i="22"/>
  <c r="AS16" i="15"/>
  <c r="AO16" i="15"/>
  <c r="AS32" i="15"/>
  <c r="Q32" i="15"/>
  <c r="Q31" i="15"/>
  <c r="R31" i="15" s="1"/>
  <c r="M31" i="15"/>
  <c r="N31" i="15" s="1"/>
  <c r="U11" i="15"/>
  <c r="AS11" i="15"/>
  <c r="I27" i="15"/>
  <c r="E27" i="15"/>
  <c r="J16" i="22"/>
  <c r="N17" i="23"/>
  <c r="T7" i="22"/>
  <c r="X7" i="15"/>
  <c r="P29" i="23"/>
  <c r="L28" i="22"/>
  <c r="AB7" i="23"/>
  <c r="Q35" i="24"/>
  <c r="L11" i="22"/>
  <c r="P12" i="23"/>
  <c r="T23" i="15"/>
  <c r="AB7" i="15"/>
  <c r="T29" i="23"/>
  <c r="T7" i="15"/>
  <c r="T24" i="22"/>
  <c r="X7" i="23"/>
  <c r="AB23" i="15"/>
  <c r="X24" i="23"/>
  <c r="T11" i="23"/>
  <c r="X7" i="22"/>
  <c r="AB7" i="22"/>
  <c r="AB24" i="22"/>
  <c r="X24" i="22"/>
  <c r="X23" i="15"/>
  <c r="AB24" i="23"/>
  <c r="O17" i="23" l="1"/>
  <c r="O18" i="23" s="1"/>
  <c r="K16" i="22"/>
  <c r="K17" i="22" s="1"/>
  <c r="K18" i="22" s="1"/>
  <c r="S16" i="22"/>
  <c r="S17" i="22" s="1"/>
  <c r="S18" i="22" s="1"/>
  <c r="AA16" i="22"/>
  <c r="AA17" i="22" s="1"/>
  <c r="AA18" i="22" s="1"/>
  <c r="W16" i="22"/>
  <c r="W17" i="22" s="1"/>
  <c r="W18" i="22" s="1"/>
  <c r="W35" i="23"/>
  <c r="W36" i="23" s="1"/>
  <c r="W37" i="23" s="1"/>
  <c r="AA35" i="23"/>
  <c r="AA36" i="23" s="1"/>
  <c r="AA37" i="23" s="1"/>
  <c r="S13" i="23"/>
  <c r="K30" i="22"/>
  <c r="H120" i="24"/>
  <c r="T120" i="24"/>
  <c r="U120" i="24"/>
  <c r="I120" i="24"/>
  <c r="I119" i="24"/>
  <c r="U119" i="24"/>
  <c r="G119" i="24"/>
  <c r="S119" i="24"/>
  <c r="U118" i="24"/>
  <c r="I118" i="24"/>
  <c r="K27" i="15"/>
  <c r="K11" i="15"/>
  <c r="T118" i="24"/>
  <c r="H118" i="24"/>
  <c r="S120" i="24"/>
  <c r="S118" i="24"/>
  <c r="S116" i="24"/>
  <c r="G120" i="24"/>
  <c r="G118" i="24"/>
  <c r="G116" i="24"/>
  <c r="AE30" i="23"/>
  <c r="AE31" i="23" s="1"/>
  <c r="AE32" i="23" s="1"/>
  <c r="AE33" i="23" s="1"/>
  <c r="AE34" i="23" s="1"/>
  <c r="AE35" i="23" s="1"/>
  <c r="AM30" i="23"/>
  <c r="AM31" i="23" s="1"/>
  <c r="AM32" i="23" s="1"/>
  <c r="AM33" i="23" s="1"/>
  <c r="AM34" i="23" s="1"/>
  <c r="AM35" i="23" s="1"/>
  <c r="K30" i="23"/>
  <c r="K31" i="23" s="1"/>
  <c r="K32" i="23" s="1"/>
  <c r="K33" i="23" s="1"/>
  <c r="K34" i="23" s="1"/>
  <c r="K35" i="23" s="1"/>
  <c r="AI30" i="23"/>
  <c r="AI31" i="23" s="1"/>
  <c r="AI32" i="23" s="1"/>
  <c r="AI33" i="23" s="1"/>
  <c r="AI34" i="23" s="1"/>
  <c r="AI35" i="23" s="1"/>
  <c r="AA15" i="23"/>
  <c r="W15" i="23"/>
  <c r="AM13" i="23"/>
  <c r="AM14" i="23" s="1"/>
  <c r="AM15" i="23" s="1"/>
  <c r="K13" i="23"/>
  <c r="K14" i="23" s="1"/>
  <c r="AI13" i="23"/>
  <c r="AE13" i="23"/>
  <c r="AE14" i="23" s="1"/>
  <c r="S31" i="22"/>
  <c r="S32" i="22" s="1"/>
  <c r="AA31" i="22"/>
  <c r="AA32" i="22" s="1"/>
  <c r="W31" i="22"/>
  <c r="W32" i="22" s="1"/>
  <c r="AI30" i="22"/>
  <c r="AM30" i="22"/>
  <c r="O30" i="22"/>
  <c r="AE30" i="22"/>
  <c r="O14" i="22"/>
  <c r="O15" i="22" s="1"/>
  <c r="AE14" i="22"/>
  <c r="AE15" i="22" s="1"/>
  <c r="AI14" i="22"/>
  <c r="AI15" i="22" s="1"/>
  <c r="AM14" i="22"/>
  <c r="AM15" i="22" s="1"/>
  <c r="W27" i="15"/>
  <c r="W28" i="15" s="1"/>
  <c r="W29" i="15" s="1"/>
  <c r="S27" i="15"/>
  <c r="S28" i="15" s="1"/>
  <c r="S29" i="15" s="1"/>
  <c r="AA27" i="15"/>
  <c r="AA28" i="15" s="1"/>
  <c r="AA29" i="15" s="1"/>
  <c r="AA11" i="15"/>
  <c r="AA12" i="15" s="1"/>
  <c r="S11" i="15"/>
  <c r="S12" i="15" s="1"/>
  <c r="W11" i="15"/>
  <c r="W12" i="15" s="1"/>
  <c r="AE27" i="15"/>
  <c r="AE28" i="15" s="1"/>
  <c r="AE29" i="15" s="1"/>
  <c r="O11" i="15"/>
  <c r="O12" i="15" s="1"/>
  <c r="AM11" i="15"/>
  <c r="AM12" i="15" s="1"/>
  <c r="AE11" i="15"/>
  <c r="AE12" i="15" s="1"/>
  <c r="AM27" i="15"/>
  <c r="AM28" i="15" s="1"/>
  <c r="AM29" i="15" s="1"/>
  <c r="AI27" i="15"/>
  <c r="AI28" i="15" s="1"/>
  <c r="AI29" i="15" s="1"/>
  <c r="AI11" i="15"/>
  <c r="AI12" i="15" s="1"/>
  <c r="N32" i="15"/>
  <c r="R32" i="15"/>
  <c r="F26" i="15"/>
  <c r="AT23" i="15"/>
  <c r="AT28" i="15"/>
  <c r="F23" i="15"/>
  <c r="AT8" i="15"/>
  <c r="V11" i="15"/>
  <c r="J16" i="15"/>
  <c r="AT16" i="15"/>
  <c r="AT11" i="22"/>
  <c r="AL34" i="22"/>
  <c r="J17" i="22"/>
  <c r="AT26" i="22"/>
  <c r="F25" i="22"/>
  <c r="N17" i="22"/>
  <c r="F34" i="22"/>
  <c r="F26" i="23"/>
  <c r="AT26" i="23"/>
  <c r="AP29" i="23"/>
  <c r="F24" i="23"/>
  <c r="F32" i="15"/>
  <c r="AP28" i="15"/>
  <c r="AP9" i="22"/>
  <c r="AT12" i="22"/>
  <c r="AP10" i="23"/>
  <c r="F27" i="15"/>
  <c r="AL11" i="15"/>
  <c r="AT27" i="15"/>
  <c r="AT25" i="15"/>
  <c r="AD27" i="15"/>
  <c r="AT24" i="15"/>
  <c r="AD32" i="15"/>
  <c r="N11" i="15"/>
  <c r="F9" i="15"/>
  <c r="F8" i="15"/>
  <c r="AP10" i="22"/>
  <c r="J34" i="22"/>
  <c r="AT34" i="22"/>
  <c r="AT17" i="22"/>
  <c r="AD34" i="22"/>
  <c r="AT27" i="22"/>
  <c r="AT10" i="22"/>
  <c r="AP27" i="23"/>
  <c r="AP25" i="23"/>
  <c r="AP9" i="23"/>
  <c r="F7" i="23"/>
  <c r="AP25" i="22"/>
  <c r="F11" i="22"/>
  <c r="AP12" i="23"/>
  <c r="M27" i="15"/>
  <c r="AP12" i="15"/>
  <c r="AT10" i="15"/>
  <c r="F11" i="15"/>
  <c r="AP10" i="15"/>
  <c r="AL16" i="15"/>
  <c r="F28" i="15"/>
  <c r="J27" i="15"/>
  <c r="AP32" i="15"/>
  <c r="F10" i="22"/>
  <c r="F8" i="22"/>
  <c r="AD17" i="22"/>
  <c r="Z34" i="22"/>
  <c r="F9" i="22"/>
  <c r="AP26" i="22"/>
  <c r="F26" i="22"/>
  <c r="AP11" i="22"/>
  <c r="F10" i="23"/>
  <c r="AP8" i="23"/>
  <c r="AT12" i="23"/>
  <c r="AP24" i="23"/>
  <c r="AP27" i="15"/>
  <c r="AP9" i="15"/>
  <c r="V27" i="15"/>
  <c r="F10" i="15"/>
  <c r="F7" i="22"/>
  <c r="AP34" i="22"/>
  <c r="AT27" i="23"/>
  <c r="F8" i="23"/>
  <c r="AT9" i="15"/>
  <c r="AP8" i="15"/>
  <c r="AP7" i="15"/>
  <c r="AT32" i="15"/>
  <c r="V17" i="22"/>
  <c r="R34" i="22"/>
  <c r="AT24" i="22"/>
  <c r="AT25" i="22"/>
  <c r="AT10" i="23"/>
  <c r="AT7" i="23"/>
  <c r="AP24" i="15"/>
  <c r="AH34" i="22"/>
  <c r="F29" i="22"/>
  <c r="Z16" i="15"/>
  <c r="AT26" i="15"/>
  <c r="AH16" i="15"/>
  <c r="V32" i="15"/>
  <c r="AL32" i="15"/>
  <c r="N16" i="15"/>
  <c r="Z32" i="15"/>
  <c r="Z27" i="15"/>
  <c r="J32" i="15"/>
  <c r="F12" i="22"/>
  <c r="AT7" i="22"/>
  <c r="F27" i="22"/>
  <c r="AP24" i="22"/>
  <c r="AP7" i="22"/>
  <c r="N34" i="22"/>
  <c r="Z17" i="22"/>
  <c r="F11" i="23"/>
  <c r="AT8" i="23"/>
  <c r="AP26" i="23"/>
  <c r="AP28" i="23"/>
  <c r="AP11" i="23"/>
  <c r="F16" i="15"/>
  <c r="F24" i="15"/>
  <c r="F28" i="22"/>
  <c r="AP17" i="22"/>
  <c r="AT28" i="23"/>
  <c r="F12" i="15"/>
  <c r="AP26" i="15"/>
  <c r="V16" i="15"/>
  <c r="AT8" i="22"/>
  <c r="AH11" i="15"/>
  <c r="R16" i="15"/>
  <c r="F25" i="15"/>
  <c r="AH27" i="15"/>
  <c r="AT7" i="15"/>
  <c r="AL27" i="15"/>
  <c r="AP11" i="15"/>
  <c r="R11" i="15"/>
  <c r="AD11" i="15"/>
  <c r="AP29" i="22"/>
  <c r="AL17" i="22"/>
  <c r="AT9" i="22"/>
  <c r="AP8" i="22"/>
  <c r="F17" i="22"/>
  <c r="AT29" i="22"/>
  <c r="AP28" i="22"/>
  <c r="AT25" i="23"/>
  <c r="AT29" i="23"/>
  <c r="F28" i="23"/>
  <c r="AT9" i="23"/>
  <c r="F9" i="23"/>
  <c r="AP23" i="15"/>
  <c r="AP16" i="15"/>
  <c r="Z11" i="15"/>
  <c r="AP12" i="22"/>
  <c r="F24" i="22"/>
  <c r="AP27" i="22"/>
  <c r="F29" i="23"/>
  <c r="AT11" i="23"/>
  <c r="R27" i="15"/>
  <c r="AH32" i="15"/>
  <c r="F7" i="15"/>
  <c r="AP25" i="15"/>
  <c r="AT11" i="15"/>
  <c r="AT28" i="22"/>
  <c r="R17" i="22"/>
  <c r="AH17" i="22"/>
  <c r="AT24" i="23"/>
  <c r="F12" i="23"/>
  <c r="F27" i="23"/>
  <c r="J11" i="15"/>
  <c r="AD16" i="15"/>
  <c r="AT12" i="15"/>
  <c r="V34" i="22"/>
  <c r="AP7" i="23"/>
  <c r="F25" i="23"/>
  <c r="P24" i="22"/>
  <c r="AJ7" i="22"/>
  <c r="AJ7" i="15"/>
  <c r="P7" i="15"/>
  <c r="AJ23" i="15"/>
  <c r="X8" i="15"/>
  <c r="E36" i="24"/>
  <c r="AB25" i="22"/>
  <c r="AJ24" i="22"/>
  <c r="AN24" i="23"/>
  <c r="X25" i="23"/>
  <c r="AF23" i="15"/>
  <c r="L12" i="22"/>
  <c r="L29" i="22"/>
  <c r="T30" i="23"/>
  <c r="L24" i="23"/>
  <c r="T8" i="22"/>
  <c r="AN24" i="22"/>
  <c r="AF24" i="23"/>
  <c r="AB8" i="22"/>
  <c r="AB8" i="23"/>
  <c r="T24" i="15"/>
  <c r="AB25" i="23"/>
  <c r="E37" i="24"/>
  <c r="X8" i="23"/>
  <c r="X8" i="22"/>
  <c r="T25" i="22"/>
  <c r="X24" i="15"/>
  <c r="AN7" i="22"/>
  <c r="X25" i="22"/>
  <c r="P7" i="22"/>
  <c r="T8" i="15"/>
  <c r="Q38" i="24"/>
  <c r="AB8" i="15"/>
  <c r="E34" i="24"/>
  <c r="P30" i="23"/>
  <c r="T12" i="23"/>
  <c r="P13" i="23"/>
  <c r="AJ7" i="23"/>
  <c r="E38" i="24"/>
  <c r="AF7" i="22"/>
  <c r="Q37" i="24"/>
  <c r="P23" i="15"/>
  <c r="AN7" i="23"/>
  <c r="AB24" i="15"/>
  <c r="L7" i="23"/>
  <c r="AF7" i="23"/>
  <c r="AF24" i="22"/>
  <c r="AJ24" i="23"/>
  <c r="AN23" i="15"/>
  <c r="AN7" i="15"/>
  <c r="AF7" i="15"/>
  <c r="Q24" i="24"/>
  <c r="AA16" i="23" l="1"/>
  <c r="AA17" i="23" s="1"/>
  <c r="AA18" i="23" s="1"/>
  <c r="AM16" i="23"/>
  <c r="AM17" i="23" s="1"/>
  <c r="AM18" i="23" s="1"/>
  <c r="W16" i="23"/>
  <c r="W17" i="23" s="1"/>
  <c r="W18" i="23" s="1"/>
  <c r="S33" i="22"/>
  <c r="S34" i="22" s="1"/>
  <c r="S35" i="22" s="1"/>
  <c r="W33" i="22"/>
  <c r="W34" i="22" s="1"/>
  <c r="W35" i="22" s="1"/>
  <c r="AA33" i="22"/>
  <c r="AA34" i="22" s="1"/>
  <c r="AA35" i="22" s="1"/>
  <c r="AM16" i="22"/>
  <c r="AM17" i="22" s="1"/>
  <c r="AM18" i="22" s="1"/>
  <c r="AI16" i="22"/>
  <c r="AI17" i="22" s="1"/>
  <c r="AI18" i="22" s="1"/>
  <c r="AE16" i="22"/>
  <c r="AE17" i="22" s="1"/>
  <c r="AE18" i="22" s="1"/>
  <c r="O16" i="22"/>
  <c r="O17" i="22" s="1"/>
  <c r="O18" i="22" s="1"/>
  <c r="S14" i="23"/>
  <c r="K31" i="22"/>
  <c r="K12" i="15"/>
  <c r="K28" i="15"/>
  <c r="K15" i="23"/>
  <c r="AE15" i="23"/>
  <c r="AI14" i="23"/>
  <c r="AI15" i="23" s="1"/>
  <c r="AE31" i="22"/>
  <c r="AE32" i="22" s="1"/>
  <c r="AM31" i="22"/>
  <c r="AM32" i="22" s="1"/>
  <c r="AI31" i="22"/>
  <c r="AI32" i="22" s="1"/>
  <c r="O31" i="22"/>
  <c r="O32" i="22" s="1"/>
  <c r="AM30" i="15"/>
  <c r="AA30" i="15"/>
  <c r="S30" i="15"/>
  <c r="AI30" i="15"/>
  <c r="AE30" i="15"/>
  <c r="W30" i="15"/>
  <c r="O13" i="15"/>
  <c r="O14" i="15" s="1"/>
  <c r="AA13" i="15"/>
  <c r="AA14" i="15" s="1"/>
  <c r="AE13" i="15"/>
  <c r="AE14" i="15" s="1"/>
  <c r="W13" i="15"/>
  <c r="W14" i="15" s="1"/>
  <c r="AI13" i="15"/>
  <c r="AI14" i="15" s="1"/>
  <c r="AM13" i="15"/>
  <c r="AM14" i="15" s="1"/>
  <c r="S13" i="15"/>
  <c r="S14" i="15" s="1"/>
  <c r="AI36" i="23"/>
  <c r="AI37" i="23" s="1"/>
  <c r="AM36" i="23"/>
  <c r="AM37" i="23" s="1"/>
  <c r="K36" i="23"/>
  <c r="K37" i="23" s="1"/>
  <c r="AE36" i="23"/>
  <c r="AE37" i="23" s="1"/>
  <c r="O27" i="15"/>
  <c r="O28" i="15" s="1"/>
  <c r="O29" i="15" s="1"/>
  <c r="G24" i="23"/>
  <c r="G25" i="23" s="1"/>
  <c r="G26" i="23" s="1"/>
  <c r="G27" i="23" s="1"/>
  <c r="G28" i="23" s="1"/>
  <c r="G29" i="23" s="1"/>
  <c r="AU24" i="23"/>
  <c r="AU25" i="23" s="1"/>
  <c r="AU26" i="23" s="1"/>
  <c r="AU27" i="23" s="1"/>
  <c r="AU28" i="23" s="1"/>
  <c r="AU29" i="23" s="1"/>
  <c r="G7" i="23"/>
  <c r="G8" i="23" s="1"/>
  <c r="G9" i="23" s="1"/>
  <c r="G10" i="23" s="1"/>
  <c r="G11" i="23" s="1"/>
  <c r="G12" i="23" s="1"/>
  <c r="AQ7" i="23"/>
  <c r="AQ8" i="23" s="1"/>
  <c r="AQ9" i="23" s="1"/>
  <c r="AQ10" i="23" s="1"/>
  <c r="AQ11" i="23" s="1"/>
  <c r="AQ12" i="23" s="1"/>
  <c r="AU7" i="23"/>
  <c r="AU8" i="23" s="1"/>
  <c r="AU9" i="23" s="1"/>
  <c r="AU10" i="23" s="1"/>
  <c r="AU11" i="23" s="1"/>
  <c r="AU12" i="23" s="1"/>
  <c r="AQ24" i="23"/>
  <c r="AQ25" i="23" s="1"/>
  <c r="AQ26" i="23" s="1"/>
  <c r="AQ27" i="23" s="1"/>
  <c r="AQ28" i="23" s="1"/>
  <c r="AQ29" i="23" s="1"/>
  <c r="N27" i="15"/>
  <c r="Q15" i="24"/>
  <c r="AN24" i="15"/>
  <c r="T31" i="23"/>
  <c r="AJ8" i="23"/>
  <c r="AF8" i="23"/>
  <c r="Q26" i="24"/>
  <c r="E39" i="24"/>
  <c r="P24" i="15"/>
  <c r="Q27" i="24"/>
  <c r="Q39" i="24"/>
  <c r="X9" i="23"/>
  <c r="Q34" i="24"/>
  <c r="Q16" i="24"/>
  <c r="AJ25" i="23"/>
  <c r="E40" i="24"/>
  <c r="AF25" i="23"/>
  <c r="T25" i="15"/>
  <c r="L27" i="15"/>
  <c r="AF8" i="15"/>
  <c r="L8" i="23"/>
  <c r="P8" i="15"/>
  <c r="Q40" i="24"/>
  <c r="AN8" i="15"/>
  <c r="AF24" i="15"/>
  <c r="L30" i="22"/>
  <c r="X26" i="23"/>
  <c r="Q14" i="24"/>
  <c r="P14" i="23"/>
  <c r="T9" i="15"/>
  <c r="AB26" i="23"/>
  <c r="X9" i="22"/>
  <c r="P31" i="23"/>
  <c r="AB9" i="22"/>
  <c r="AB26" i="22"/>
  <c r="P25" i="22"/>
  <c r="Q41" i="24"/>
  <c r="T9" i="22"/>
  <c r="AF8" i="22"/>
  <c r="AF25" i="22"/>
  <c r="AJ8" i="22"/>
  <c r="AJ24" i="15"/>
  <c r="AB9" i="15"/>
  <c r="L25" i="23"/>
  <c r="E41" i="24"/>
  <c r="L13" i="22"/>
  <c r="X26" i="22"/>
  <c r="L11" i="15"/>
  <c r="AB9" i="23"/>
  <c r="P8" i="22"/>
  <c r="AN8" i="23"/>
  <c r="T26" i="22"/>
  <c r="AJ8" i="15"/>
  <c r="X25" i="15"/>
  <c r="E35" i="24"/>
  <c r="X9" i="15"/>
  <c r="Q30" i="24"/>
  <c r="AB25" i="15"/>
  <c r="AN25" i="22"/>
  <c r="AJ25" i="22"/>
  <c r="AN8" i="22"/>
  <c r="AN25" i="23"/>
  <c r="T13" i="23"/>
  <c r="AE16" i="23" l="1"/>
  <c r="AE17" i="23" s="1"/>
  <c r="AE18" i="23" s="1"/>
  <c r="K16" i="23"/>
  <c r="K17" i="23" s="1"/>
  <c r="K18" i="23" s="1"/>
  <c r="AI16" i="23"/>
  <c r="AI17" i="23" s="1"/>
  <c r="AI18" i="23" s="1"/>
  <c r="O33" i="22"/>
  <c r="O34" i="22" s="1"/>
  <c r="O35" i="22" s="1"/>
  <c r="AI33" i="22"/>
  <c r="AI34" i="22" s="1"/>
  <c r="AI35" i="22" s="1"/>
  <c r="AE33" i="22"/>
  <c r="AE34" i="22" s="1"/>
  <c r="AE35" i="22" s="1"/>
  <c r="AM33" i="22"/>
  <c r="AM34" i="22" s="1"/>
  <c r="AM35" i="22" s="1"/>
  <c r="W31" i="15"/>
  <c r="W32" i="15" s="1"/>
  <c r="W33" i="15" s="1"/>
  <c r="S31" i="15"/>
  <c r="S32" i="15" s="1"/>
  <c r="S33" i="15" s="1"/>
  <c r="AA31" i="15"/>
  <c r="AA32" i="15" s="1"/>
  <c r="AA33" i="15" s="1"/>
  <c r="AE31" i="15"/>
  <c r="AE32" i="15" s="1"/>
  <c r="AE33" i="15" s="1"/>
  <c r="AM31" i="15"/>
  <c r="AM32" i="15" s="1"/>
  <c r="AM33" i="15" s="1"/>
  <c r="AI31" i="15"/>
  <c r="AI32" i="15" s="1"/>
  <c r="AI33" i="15" s="1"/>
  <c r="AI15" i="15"/>
  <c r="AI16" i="15" s="1"/>
  <c r="AI17" i="15" s="1"/>
  <c r="O15" i="15"/>
  <c r="O16" i="15" s="1"/>
  <c r="O17" i="15" s="1"/>
  <c r="W15" i="15"/>
  <c r="W16" i="15" s="1"/>
  <c r="W17" i="15" s="1"/>
  <c r="S15" i="15"/>
  <c r="S16" i="15" s="1"/>
  <c r="S17" i="15" s="1"/>
  <c r="AE15" i="15"/>
  <c r="AE16" i="15" s="1"/>
  <c r="AE17" i="15" s="1"/>
  <c r="AM15" i="15"/>
  <c r="AM16" i="15" s="1"/>
  <c r="AM17" i="15" s="1"/>
  <c r="AA15" i="15"/>
  <c r="AA16" i="15" s="1"/>
  <c r="AA17" i="15" s="1"/>
  <c r="S15" i="23"/>
  <c r="S16" i="23" s="1"/>
  <c r="K32" i="22"/>
  <c r="K33" i="22" s="1"/>
  <c r="K29" i="15"/>
  <c r="K13" i="15"/>
  <c r="G30" i="23"/>
  <c r="AQ30" i="23"/>
  <c r="AQ31" i="23" s="1"/>
  <c r="AQ32" i="23" s="1"/>
  <c r="AQ33" i="23" s="1"/>
  <c r="AQ34" i="23" s="1"/>
  <c r="AQ35" i="23" s="1"/>
  <c r="AU30" i="23"/>
  <c r="AU31" i="23" s="1"/>
  <c r="AU32" i="23" s="1"/>
  <c r="AU33" i="23" s="1"/>
  <c r="AU34" i="23" s="1"/>
  <c r="AU35" i="23" s="1"/>
  <c r="AQ13" i="23"/>
  <c r="AU13" i="23"/>
  <c r="AU14" i="23" s="1"/>
  <c r="G13" i="23"/>
  <c r="G14" i="23" s="1"/>
  <c r="O30" i="15"/>
  <c r="G24" i="22"/>
  <c r="G25" i="22" s="1"/>
  <c r="G26" i="22" s="1"/>
  <c r="G27" i="22" s="1"/>
  <c r="G28" i="22" s="1"/>
  <c r="G29" i="22" s="1"/>
  <c r="G23" i="15"/>
  <c r="AU23" i="15"/>
  <c r="AU7" i="22"/>
  <c r="AU8" i="22" s="1"/>
  <c r="AU9" i="22" s="1"/>
  <c r="AU10" i="22" s="1"/>
  <c r="AU11" i="22" s="1"/>
  <c r="AU12" i="22" s="1"/>
  <c r="AU13" i="22" s="1"/>
  <c r="AU14" i="22" s="1"/>
  <c r="AQ24" i="22"/>
  <c r="AQ25" i="22" s="1"/>
  <c r="AQ26" i="22" s="1"/>
  <c r="AQ27" i="22" s="1"/>
  <c r="AQ28" i="22" s="1"/>
  <c r="AQ29" i="22" s="1"/>
  <c r="AU24" i="22"/>
  <c r="AU25" i="22" s="1"/>
  <c r="AU26" i="22" s="1"/>
  <c r="AU27" i="22" s="1"/>
  <c r="AU28" i="22" s="1"/>
  <c r="AU29" i="22" s="1"/>
  <c r="AQ23" i="15"/>
  <c r="AQ7" i="22"/>
  <c r="AQ8" i="22" s="1"/>
  <c r="AQ9" i="22" s="1"/>
  <c r="AQ10" i="22" s="1"/>
  <c r="AQ11" i="22" s="1"/>
  <c r="AQ12" i="22" s="1"/>
  <c r="AQ13" i="22" s="1"/>
  <c r="AQ14" i="22" s="1"/>
  <c r="AU7" i="15"/>
  <c r="AU8" i="15" s="1"/>
  <c r="AU9" i="15" s="1"/>
  <c r="AU10" i="15" s="1"/>
  <c r="AU11" i="15" s="1"/>
  <c r="AU12" i="15" s="1"/>
  <c r="AU13" i="15" s="1"/>
  <c r="AQ7" i="15"/>
  <c r="AQ8" i="15" s="1"/>
  <c r="AQ9" i="15" s="1"/>
  <c r="AQ10" i="15" s="1"/>
  <c r="AQ11" i="15" s="1"/>
  <c r="AQ12" i="15" s="1"/>
  <c r="AQ13" i="15" s="1"/>
  <c r="P25" i="15"/>
  <c r="AF26" i="22"/>
  <c r="AF9" i="15"/>
  <c r="P32" i="23"/>
  <c r="E15" i="24"/>
  <c r="AJ9" i="23"/>
  <c r="Q17" i="24"/>
  <c r="E18" i="24"/>
  <c r="AJ26" i="23"/>
  <c r="E14" i="24"/>
  <c r="T10" i="15"/>
  <c r="X26" i="15"/>
  <c r="AN9" i="23"/>
  <c r="E29" i="24"/>
  <c r="L12" i="15"/>
  <c r="P15" i="23"/>
  <c r="L31" i="22"/>
  <c r="AF9" i="23"/>
  <c r="L26" i="23"/>
  <c r="AB10" i="22"/>
  <c r="X27" i="22"/>
  <c r="AN9" i="22"/>
  <c r="X10" i="23"/>
  <c r="L9" i="23"/>
  <c r="Q18" i="24"/>
  <c r="T26" i="15"/>
  <c r="E19" i="24"/>
  <c r="T32" i="23"/>
  <c r="AN26" i="22"/>
  <c r="AB10" i="23"/>
  <c r="AF9" i="22"/>
  <c r="AF26" i="23"/>
  <c r="T14" i="23"/>
  <c r="AB27" i="22"/>
  <c r="Q29" i="24"/>
  <c r="L28" i="15"/>
  <c r="P9" i="22"/>
  <c r="AJ9" i="22"/>
  <c r="E26" i="24"/>
  <c r="X27" i="23"/>
  <c r="Q28" i="24"/>
  <c r="T10" i="22"/>
  <c r="AN9" i="15"/>
  <c r="L14" i="22"/>
  <c r="AJ25" i="15"/>
  <c r="X10" i="15"/>
  <c r="E28" i="24"/>
  <c r="X10" i="22"/>
  <c r="AJ26" i="22"/>
  <c r="E30" i="24"/>
  <c r="Q13" i="24"/>
  <c r="AB27" i="23"/>
  <c r="T27" i="22"/>
  <c r="AB26" i="15"/>
  <c r="AJ9" i="15"/>
  <c r="P26" i="22"/>
  <c r="AN26" i="23"/>
  <c r="E16" i="24"/>
  <c r="P9" i="15"/>
  <c r="AF25" i="15"/>
  <c r="Q23" i="24"/>
  <c r="AN25" i="15"/>
  <c r="E27" i="24"/>
  <c r="E13" i="24"/>
  <c r="AB10" i="15"/>
  <c r="E17" i="24"/>
  <c r="E25" i="24"/>
  <c r="Q19" i="24"/>
  <c r="O31" i="15" l="1"/>
  <c r="O32" i="15" s="1"/>
  <c r="O33" i="15" s="1"/>
  <c r="S17" i="23"/>
  <c r="S18" i="23" s="1"/>
  <c r="K34" i="22"/>
  <c r="K35" i="22" s="1"/>
  <c r="K14" i="15"/>
  <c r="K15" i="15" s="1"/>
  <c r="K30" i="15"/>
  <c r="K31" i="15" s="1"/>
  <c r="G31" i="23"/>
  <c r="G32" i="23" s="1"/>
  <c r="G33" i="23" s="1"/>
  <c r="AU15" i="23"/>
  <c r="G15" i="23"/>
  <c r="AQ14" i="23"/>
  <c r="AQ15" i="23" s="1"/>
  <c r="AU30" i="22"/>
  <c r="AQ30" i="22"/>
  <c r="G30" i="22"/>
  <c r="AU36" i="23"/>
  <c r="AU37" i="23" s="1"/>
  <c r="AQ36" i="23"/>
  <c r="AQ37" i="23" s="1"/>
  <c r="AQ24" i="15"/>
  <c r="AQ25" i="15" s="1"/>
  <c r="AQ26" i="15" s="1"/>
  <c r="AQ27" i="15" s="1"/>
  <c r="AQ28" i="15" s="1"/>
  <c r="AQ29" i="15" s="1"/>
  <c r="AU24" i="15"/>
  <c r="AU25" i="15" s="1"/>
  <c r="AU26" i="15" s="1"/>
  <c r="AU27" i="15" s="1"/>
  <c r="AU28" i="15" s="1"/>
  <c r="AU29" i="15" s="1"/>
  <c r="G24" i="15"/>
  <c r="G25" i="15" s="1"/>
  <c r="G26" i="15" s="1"/>
  <c r="G27" i="15" s="1"/>
  <c r="G28" i="15" s="1"/>
  <c r="G29" i="15" s="1"/>
  <c r="AU15" i="22"/>
  <c r="AQ15" i="22"/>
  <c r="AQ16" i="22" s="1"/>
  <c r="AU14" i="15"/>
  <c r="AQ14" i="15"/>
  <c r="AQ15" i="15" s="1"/>
  <c r="AN27" i="23"/>
  <c r="P16" i="23"/>
  <c r="AJ27" i="23"/>
  <c r="AN10" i="23"/>
  <c r="AF10" i="22"/>
  <c r="AB11" i="23"/>
  <c r="T11" i="15"/>
  <c r="T27" i="15"/>
  <c r="Q43" i="24"/>
  <c r="AB11" i="15"/>
  <c r="P10" i="22"/>
  <c r="P27" i="22"/>
  <c r="AB28" i="22"/>
  <c r="AB11" i="22"/>
  <c r="X11" i="23"/>
  <c r="AJ10" i="15"/>
  <c r="L29" i="15"/>
  <c r="AJ27" i="22"/>
  <c r="AF27" i="23"/>
  <c r="AJ26" i="15"/>
  <c r="T28" i="22"/>
  <c r="AF10" i="23"/>
  <c r="AF10" i="15"/>
  <c r="AJ10" i="22"/>
  <c r="AB28" i="23"/>
  <c r="AN27" i="22"/>
  <c r="L15" i="22"/>
  <c r="X28" i="23"/>
  <c r="X11" i="22"/>
  <c r="T11" i="22"/>
  <c r="L13" i="15"/>
  <c r="X28" i="22"/>
  <c r="T15" i="23"/>
  <c r="AJ10" i="23"/>
  <c r="X27" i="15"/>
  <c r="L27" i="23"/>
  <c r="L10" i="23"/>
  <c r="X11" i="15"/>
  <c r="P33" i="23"/>
  <c r="P10" i="15"/>
  <c r="AN26" i="15"/>
  <c r="AN10" i="15"/>
  <c r="L32" i="22"/>
  <c r="AN10" i="22"/>
  <c r="Q12" i="24"/>
  <c r="AF26" i="15"/>
  <c r="T33" i="23"/>
  <c r="AF27" i="22"/>
  <c r="E24" i="24"/>
  <c r="P26" i="15"/>
  <c r="Q42" i="24"/>
  <c r="AB27" i="15"/>
  <c r="Q25" i="24"/>
  <c r="G16" i="23" l="1"/>
  <c r="G17" i="23" s="1"/>
  <c r="G18" i="23" s="1"/>
  <c r="AQ16" i="23"/>
  <c r="AQ17" i="23" s="1"/>
  <c r="AQ18" i="23" s="1"/>
  <c r="AU16" i="23"/>
  <c r="AU17" i="23" s="1"/>
  <c r="AU18" i="23" s="1"/>
  <c r="AU16" i="22"/>
  <c r="AU17" i="22" s="1"/>
  <c r="AU18" i="22" s="1"/>
  <c r="AU15" i="15"/>
  <c r="AU16" i="15" s="1"/>
  <c r="AU17" i="15" s="1"/>
  <c r="K32" i="15"/>
  <c r="K33" i="15" s="1"/>
  <c r="K16" i="15"/>
  <c r="K17" i="15" s="1"/>
  <c r="G34" i="23"/>
  <c r="G31" i="22"/>
  <c r="G32" i="22" s="1"/>
  <c r="AQ31" i="22"/>
  <c r="AQ32" i="22" s="1"/>
  <c r="AU31" i="22"/>
  <c r="AU32" i="22" s="1"/>
  <c r="AU30" i="15"/>
  <c r="G30" i="15"/>
  <c r="AQ17" i="22"/>
  <c r="AQ18" i="22" s="1"/>
  <c r="AQ30" i="15"/>
  <c r="AQ31" i="15" s="1"/>
  <c r="AQ16" i="15"/>
  <c r="AQ17" i="15" s="1"/>
  <c r="G7" i="15"/>
  <c r="G8" i="15" s="1"/>
  <c r="G9" i="15" s="1"/>
  <c r="G10" i="15" s="1"/>
  <c r="G11" i="15" s="1"/>
  <c r="X12" i="15"/>
  <c r="E21" i="24"/>
  <c r="P17" i="23"/>
  <c r="AR7" i="22"/>
  <c r="T34" i="23"/>
  <c r="X12" i="22"/>
  <c r="H24" i="23"/>
  <c r="AN27" i="15"/>
  <c r="AB29" i="23"/>
  <c r="E42" i="24"/>
  <c r="AV7" i="15"/>
  <c r="E23" i="24"/>
  <c r="AB28" i="15"/>
  <c r="T12" i="22"/>
  <c r="AV24" i="22"/>
  <c r="AB12" i="15"/>
  <c r="T12" i="15"/>
  <c r="E43" i="24"/>
  <c r="T16" i="23"/>
  <c r="H24" i="22"/>
  <c r="AF28" i="23"/>
  <c r="AJ28" i="22"/>
  <c r="AB29" i="22"/>
  <c r="Q32" i="24"/>
  <c r="AN11" i="22"/>
  <c r="AV23" i="15"/>
  <c r="T29" i="22"/>
  <c r="AR24" i="23"/>
  <c r="E12" i="24"/>
  <c r="X29" i="23"/>
  <c r="AJ27" i="15"/>
  <c r="AV24" i="23"/>
  <c r="P34" i="23"/>
  <c r="L14" i="15"/>
  <c r="AR24" i="22"/>
  <c r="X29" i="22"/>
  <c r="Q31" i="24"/>
  <c r="AJ11" i="15"/>
  <c r="P27" i="15"/>
  <c r="L11" i="23"/>
  <c r="X12" i="23"/>
  <c r="AJ11" i="22"/>
  <c r="AN28" i="23"/>
  <c r="AV7" i="22"/>
  <c r="AN11" i="23"/>
  <c r="H7" i="15"/>
  <c r="T28" i="15"/>
  <c r="L30" i="15"/>
  <c r="L16" i="22"/>
  <c r="AJ11" i="23"/>
  <c r="AF27" i="15"/>
  <c r="AR7" i="15"/>
  <c r="Q22" i="24"/>
  <c r="AN28" i="22"/>
  <c r="P11" i="22"/>
  <c r="L28" i="23"/>
  <c r="H7" i="23"/>
  <c r="H23" i="15"/>
  <c r="AB12" i="23"/>
  <c r="X28" i="15"/>
  <c r="AB12" i="22"/>
  <c r="P28" i="22"/>
  <c r="AJ28" i="23"/>
  <c r="AR7" i="23"/>
  <c r="AN11" i="15"/>
  <c r="AF28" i="22"/>
  <c r="AV7" i="23"/>
  <c r="E20" i="24"/>
  <c r="AR23" i="15"/>
  <c r="AF11" i="15"/>
  <c r="AF11" i="22"/>
  <c r="AF11" i="23"/>
  <c r="P11" i="15"/>
  <c r="L33" i="22"/>
  <c r="P18" i="23" l="1"/>
  <c r="G35" i="23"/>
  <c r="G36" i="23" s="1"/>
  <c r="G37" i="23" s="1"/>
  <c r="AQ33" i="22"/>
  <c r="AQ34" i="22" s="1"/>
  <c r="AQ35" i="22" s="1"/>
  <c r="G33" i="22"/>
  <c r="G34" i="22" s="1"/>
  <c r="G35" i="22" s="1"/>
  <c r="AU33" i="22"/>
  <c r="AU34" i="22" s="1"/>
  <c r="AU35" i="22" s="1"/>
  <c r="AU31" i="15"/>
  <c r="AU32" i="15" s="1"/>
  <c r="AU33" i="15" s="1"/>
  <c r="G31" i="15"/>
  <c r="G32" i="15" s="1"/>
  <c r="G33" i="15" s="1"/>
  <c r="AQ32" i="15"/>
  <c r="G12" i="15"/>
  <c r="X30" i="23"/>
  <c r="T30" i="22"/>
  <c r="AV8" i="15"/>
  <c r="H24" i="15"/>
  <c r="AB30" i="22"/>
  <c r="AV24" i="15"/>
  <c r="P12" i="22"/>
  <c r="AV25" i="23"/>
  <c r="AJ29" i="23"/>
  <c r="T13" i="15"/>
  <c r="AF29" i="22"/>
  <c r="T29" i="15"/>
  <c r="AR8" i="22"/>
  <c r="AB29" i="15"/>
  <c r="AF12" i="15"/>
  <c r="AN29" i="22"/>
  <c r="AV25" i="22"/>
  <c r="L17" i="22"/>
  <c r="L31" i="15"/>
  <c r="AN29" i="23"/>
  <c r="AV8" i="22"/>
  <c r="E32" i="24"/>
  <c r="AN12" i="22"/>
  <c r="Q11" i="24"/>
  <c r="AF12" i="23"/>
  <c r="L29" i="23"/>
  <c r="AJ12" i="22"/>
  <c r="X29" i="15"/>
  <c r="AB13" i="15"/>
  <c r="Q20" i="24"/>
  <c r="AR8" i="15"/>
  <c r="AJ12" i="15"/>
  <c r="AF28" i="15"/>
  <c r="AN28" i="15"/>
  <c r="L34" i="22"/>
  <c r="AR25" i="23"/>
  <c r="X13" i="22"/>
  <c r="X13" i="15"/>
  <c r="X30" i="22"/>
  <c r="T17" i="23"/>
  <c r="AJ29" i="22"/>
  <c r="P35" i="23"/>
  <c r="AB13" i="23"/>
  <c r="AF12" i="22"/>
  <c r="AB30" i="23"/>
  <c r="T35" i="23"/>
  <c r="AV8" i="23"/>
  <c r="AF29" i="23"/>
  <c r="R24" i="24"/>
  <c r="P28" i="15"/>
  <c r="E22" i="24"/>
  <c r="AJ12" i="23"/>
  <c r="AJ28" i="15"/>
  <c r="AB13" i="22"/>
  <c r="AR25" i="22"/>
  <c r="L15" i="15"/>
  <c r="AN12" i="15"/>
  <c r="Q21" i="24"/>
  <c r="H8" i="23"/>
  <c r="H8" i="15"/>
  <c r="Q33" i="24"/>
  <c r="H25" i="22"/>
  <c r="AR24" i="15"/>
  <c r="P12" i="15"/>
  <c r="L12" i="23"/>
  <c r="AR8" i="23"/>
  <c r="P29" i="22"/>
  <c r="X13" i="23"/>
  <c r="T13" i="22"/>
  <c r="H25" i="23"/>
  <c r="AN12" i="23"/>
  <c r="T18" i="23" l="1"/>
  <c r="L18" i="22"/>
  <c r="L35" i="22"/>
  <c r="E120" i="24"/>
  <c r="Q131" i="24"/>
  <c r="F131" i="24" s="1"/>
  <c r="Q120" i="24"/>
  <c r="Q130" i="24"/>
  <c r="F130" i="24" s="1"/>
  <c r="Q129" i="24"/>
  <c r="F129" i="24" s="1"/>
  <c r="Q118" i="24"/>
  <c r="Q119" i="24"/>
  <c r="E119" i="24"/>
  <c r="E118" i="24"/>
  <c r="G13" i="15"/>
  <c r="G14" i="15" s="1"/>
  <c r="AQ33" i="15"/>
  <c r="G7" i="22"/>
  <c r="G8" i="22" s="1"/>
  <c r="G9" i="22" s="1"/>
  <c r="G10" i="22" s="1"/>
  <c r="G11" i="22" s="1"/>
  <c r="G12" i="22" s="1"/>
  <c r="G13" i="22" s="1"/>
  <c r="T14" i="22"/>
  <c r="X31" i="22"/>
  <c r="X14" i="15"/>
  <c r="F34" i="24"/>
  <c r="AB14" i="23"/>
  <c r="AV26" i="22"/>
  <c r="AV9" i="22"/>
  <c r="AF13" i="15"/>
  <c r="AR9" i="23"/>
  <c r="AR9" i="22"/>
  <c r="X14" i="23"/>
  <c r="AJ30" i="22"/>
  <c r="AV26" i="23"/>
  <c r="P13" i="22"/>
  <c r="AN13" i="22"/>
  <c r="AJ13" i="22"/>
  <c r="AR25" i="15"/>
  <c r="H26" i="23"/>
  <c r="AB31" i="23"/>
  <c r="AN30" i="22"/>
  <c r="H9" i="15"/>
  <c r="AB30" i="15"/>
  <c r="L32" i="15"/>
  <c r="AN13" i="15"/>
  <c r="AF13" i="23"/>
  <c r="P36" i="23"/>
  <c r="T31" i="22"/>
  <c r="H7" i="22"/>
  <c r="X31" i="23"/>
  <c r="L13" i="23"/>
  <c r="AB14" i="15"/>
  <c r="L30" i="23"/>
  <c r="AV9" i="23"/>
  <c r="AV25" i="15"/>
  <c r="AF30" i="22"/>
  <c r="AJ30" i="23"/>
  <c r="R25" i="24"/>
  <c r="AR26" i="23"/>
  <c r="AB31" i="22"/>
  <c r="H25" i="15"/>
  <c r="H9" i="23"/>
  <c r="AB14" i="22"/>
  <c r="L16" i="15"/>
  <c r="X30" i="15"/>
  <c r="P29" i="15"/>
  <c r="AN30" i="23"/>
  <c r="E31" i="24"/>
  <c r="AR26" i="22"/>
  <c r="AN29" i="15"/>
  <c r="AJ29" i="15"/>
  <c r="AF13" i="22"/>
  <c r="AF30" i="23"/>
  <c r="AR9" i="15"/>
  <c r="P30" i="22"/>
  <c r="T14" i="15"/>
  <c r="H26" i="22"/>
  <c r="AN13" i="23"/>
  <c r="X14" i="22"/>
  <c r="R12" i="24"/>
  <c r="AJ13" i="15"/>
  <c r="AJ13" i="23"/>
  <c r="P13" i="15"/>
  <c r="T36" i="23"/>
  <c r="AF29" i="15"/>
  <c r="T30" i="15"/>
  <c r="AV9" i="15"/>
  <c r="L33" i="15" l="1"/>
  <c r="L17" i="15"/>
  <c r="P37" i="23"/>
  <c r="T37" i="23"/>
  <c r="G15" i="15"/>
  <c r="G16" i="15" s="1"/>
  <c r="G17" i="15" s="1"/>
  <c r="Q127" i="24"/>
  <c r="F127" i="24" s="1"/>
  <c r="Q116" i="24"/>
  <c r="E116" i="24"/>
  <c r="G14" i="22"/>
  <c r="G15" i="22" s="1"/>
  <c r="R35" i="24"/>
  <c r="AB15" i="15"/>
  <c r="H27" i="22"/>
  <c r="AN30" i="15"/>
  <c r="AR27" i="22"/>
  <c r="P14" i="15"/>
  <c r="AF14" i="22"/>
  <c r="AV27" i="23"/>
  <c r="AB15" i="23"/>
  <c r="AN14" i="23"/>
  <c r="AN14" i="22"/>
  <c r="T32" i="22"/>
  <c r="AF14" i="15"/>
  <c r="E11" i="24"/>
  <c r="AB31" i="15"/>
  <c r="R36" i="24"/>
  <c r="X31" i="15"/>
  <c r="AV10" i="23"/>
  <c r="AJ31" i="22"/>
  <c r="AV26" i="15"/>
  <c r="AF31" i="22"/>
  <c r="AF30" i="15"/>
  <c r="AN31" i="22"/>
  <c r="L31" i="23"/>
  <c r="X32" i="23"/>
  <c r="AB32" i="23"/>
  <c r="AJ14" i="23"/>
  <c r="AN31" i="23"/>
  <c r="T15" i="22"/>
  <c r="AJ14" i="22"/>
  <c r="T15" i="15"/>
  <c r="AR10" i="22"/>
  <c r="P14" i="22"/>
  <c r="AV10" i="15"/>
  <c r="AR10" i="23"/>
  <c r="AJ31" i="23"/>
  <c r="AJ30" i="15"/>
  <c r="H26" i="15"/>
  <c r="X32" i="22"/>
  <c r="X15" i="23"/>
  <c r="F12" i="24"/>
  <c r="AF14" i="23"/>
  <c r="AJ14" i="15"/>
  <c r="L14" i="23"/>
  <c r="P30" i="15"/>
  <c r="H27" i="23"/>
  <c r="AV27" i="22"/>
  <c r="X15" i="22"/>
  <c r="H10" i="23"/>
  <c r="X15" i="15"/>
  <c r="P31" i="22"/>
  <c r="AV10" i="22"/>
  <c r="H10" i="15"/>
  <c r="AR10" i="15"/>
  <c r="AR26" i="15"/>
  <c r="AF31" i="23"/>
  <c r="T31" i="15"/>
  <c r="H8" i="22"/>
  <c r="AB15" i="22"/>
  <c r="F23" i="24"/>
  <c r="AB32" i="22"/>
  <c r="AN14" i="15"/>
  <c r="AR27" i="23"/>
  <c r="G16" i="22" l="1"/>
  <c r="G17" i="22" s="1"/>
  <c r="G18" i="22" s="1"/>
  <c r="Q126" i="24"/>
  <c r="F126" i="24" s="1"/>
  <c r="E115" i="24"/>
  <c r="Q115" i="24"/>
  <c r="L32" i="23"/>
  <c r="P31" i="15"/>
  <c r="H28" i="23"/>
  <c r="AN15" i="15"/>
  <c r="X33" i="23"/>
  <c r="E33" i="24"/>
  <c r="X32" i="15"/>
  <c r="AN31" i="15"/>
  <c r="AB16" i="23"/>
  <c r="AN32" i="23"/>
  <c r="AF32" i="23"/>
  <c r="AJ32" i="22"/>
  <c r="AB33" i="22"/>
  <c r="AB33" i="23"/>
  <c r="AJ32" i="23"/>
  <c r="AJ15" i="22"/>
  <c r="AR11" i="22"/>
  <c r="L15" i="23"/>
  <c r="AR11" i="23"/>
  <c r="T16" i="15"/>
  <c r="T16" i="22"/>
  <c r="AJ31" i="15"/>
  <c r="T33" i="22"/>
  <c r="X16" i="23"/>
  <c r="P15" i="15"/>
  <c r="H11" i="23"/>
  <c r="X16" i="15"/>
  <c r="AV11" i="22"/>
  <c r="P32" i="22"/>
  <c r="AF15" i="15"/>
  <c r="AV11" i="23"/>
  <c r="X16" i="22"/>
  <c r="AJ15" i="23"/>
  <c r="AB32" i="15"/>
  <c r="AJ15" i="15"/>
  <c r="AF31" i="15"/>
  <c r="AF32" i="22"/>
  <c r="P15" i="22"/>
  <c r="AB16" i="15"/>
  <c r="X33" i="22"/>
  <c r="AF15" i="22"/>
  <c r="AF15" i="23"/>
  <c r="AN15" i="23"/>
  <c r="AR28" i="22"/>
  <c r="AR28" i="23"/>
  <c r="AN32" i="22"/>
  <c r="H9" i="22"/>
  <c r="AV28" i="23"/>
  <c r="AV28" i="22"/>
  <c r="AN15" i="22"/>
  <c r="T32" i="15"/>
  <c r="AB16" i="22"/>
  <c r="H28" i="22"/>
  <c r="AB33" i="15" l="1"/>
  <c r="X17" i="15"/>
  <c r="AB17" i="15"/>
  <c r="T17" i="15"/>
  <c r="X33" i="15"/>
  <c r="T33" i="15"/>
  <c r="Q128" i="24"/>
  <c r="Q117" i="24"/>
  <c r="E117" i="24"/>
  <c r="AN16" i="23"/>
  <c r="F27" i="24"/>
  <c r="L16" i="23"/>
  <c r="AB34" i="22"/>
  <c r="AN32" i="15"/>
  <c r="F26" i="24"/>
  <c r="X17" i="23"/>
  <c r="H29" i="22"/>
  <c r="AV27" i="15"/>
  <c r="F16" i="24"/>
  <c r="H10" i="22"/>
  <c r="AB17" i="22"/>
  <c r="AV29" i="23"/>
  <c r="AB34" i="23"/>
  <c r="T34" i="22"/>
  <c r="AF33" i="22"/>
  <c r="H12" i="23"/>
  <c r="P32" i="15"/>
  <c r="AR27" i="15"/>
  <c r="P16" i="15"/>
  <c r="AR29" i="23"/>
  <c r="L33" i="23"/>
  <c r="P33" i="22"/>
  <c r="AR29" i="22"/>
  <c r="F25" i="24"/>
  <c r="AR11" i="15"/>
  <c r="AN33" i="23"/>
  <c r="F14" i="24"/>
  <c r="AF33" i="23"/>
  <c r="AJ33" i="22"/>
  <c r="T17" i="22"/>
  <c r="H11" i="15"/>
  <c r="AJ32" i="15"/>
  <c r="X34" i="22"/>
  <c r="AV29" i="22"/>
  <c r="AF16" i="23"/>
  <c r="AV12" i="23"/>
  <c r="AF16" i="22"/>
  <c r="AN16" i="15"/>
  <c r="AJ16" i="23"/>
  <c r="P16" i="22"/>
  <c r="AB17" i="23"/>
  <c r="F15" i="24"/>
  <c r="AN16" i="22"/>
  <c r="AJ16" i="15"/>
  <c r="AR12" i="23"/>
  <c r="AJ33" i="23"/>
  <c r="AV11" i="15"/>
  <c r="AF16" i="15"/>
  <c r="X34" i="23"/>
  <c r="AV12" i="22"/>
  <c r="AN33" i="22"/>
  <c r="AJ16" i="22"/>
  <c r="X17" i="22"/>
  <c r="AF32" i="15"/>
  <c r="AR12" i="22"/>
  <c r="H27" i="15"/>
  <c r="H29" i="23"/>
  <c r="T35" i="22" l="1"/>
  <c r="AB35" i="22"/>
  <c r="AN17" i="15"/>
  <c r="T18" i="22"/>
  <c r="P33" i="15"/>
  <c r="AF33" i="15"/>
  <c r="AJ33" i="15"/>
  <c r="AF17" i="15"/>
  <c r="P17" i="15"/>
  <c r="X35" i="22"/>
  <c r="X18" i="22"/>
  <c r="AB18" i="23"/>
  <c r="X18" i="23"/>
  <c r="AB18" i="22"/>
  <c r="AN33" i="15"/>
  <c r="AJ17" i="15"/>
  <c r="F128" i="24"/>
  <c r="R15" i="24"/>
  <c r="H28" i="15"/>
  <c r="H30" i="23"/>
  <c r="AR13" i="22"/>
  <c r="F37" i="24"/>
  <c r="H11" i="22"/>
  <c r="AJ17" i="23"/>
  <c r="P34" i="22"/>
  <c r="AN34" i="22"/>
  <c r="AR30" i="23"/>
  <c r="J12" i="24"/>
  <c r="R27" i="24"/>
  <c r="AJ17" i="22"/>
  <c r="R14" i="24"/>
  <c r="J25" i="24"/>
  <c r="AJ34" i="23"/>
  <c r="AV30" i="22"/>
  <c r="AV28" i="15"/>
  <c r="L17" i="23"/>
  <c r="V14" i="24"/>
  <c r="J27" i="24"/>
  <c r="AN17" i="22"/>
  <c r="AF17" i="22"/>
  <c r="L34" i="23"/>
  <c r="F38" i="24"/>
  <c r="V24" i="24"/>
  <c r="F36" i="24"/>
  <c r="F28" i="24"/>
  <c r="J15" i="24"/>
  <c r="AN34" i="23"/>
  <c r="J23" i="24"/>
  <c r="J26" i="24"/>
  <c r="AV12" i="15"/>
  <c r="AR30" i="22"/>
  <c r="R16" i="24"/>
  <c r="X35" i="23"/>
  <c r="AF34" i="23"/>
  <c r="AN17" i="23"/>
  <c r="H30" i="22"/>
  <c r="F24" i="24"/>
  <c r="AR12" i="15"/>
  <c r="F17" i="24"/>
  <c r="AV30" i="23"/>
  <c r="F19" i="24"/>
  <c r="F18" i="24"/>
  <c r="AR28" i="15"/>
  <c r="H12" i="15"/>
  <c r="R26" i="24"/>
  <c r="F29" i="24"/>
  <c r="AF34" i="22"/>
  <c r="J14" i="24"/>
  <c r="AB35" i="23"/>
  <c r="P17" i="22"/>
  <c r="AV13" i="22"/>
  <c r="AJ34" i="22"/>
  <c r="V25" i="24"/>
  <c r="AF17" i="23"/>
  <c r="J16" i="24"/>
  <c r="F30" i="24"/>
  <c r="F13" i="24"/>
  <c r="K15" i="24" l="1"/>
  <c r="K14" i="24"/>
  <c r="K25" i="24"/>
  <c r="K26" i="24"/>
  <c r="AN18" i="22"/>
  <c r="AJ18" i="22"/>
  <c r="AN18" i="23"/>
  <c r="L18" i="23"/>
  <c r="AJ18" i="23"/>
  <c r="AN35" i="22"/>
  <c r="AF18" i="23"/>
  <c r="P35" i="22"/>
  <c r="AF35" i="22"/>
  <c r="P18" i="22"/>
  <c r="AJ35" i="22"/>
  <c r="AF18" i="22"/>
  <c r="W14" i="24"/>
  <c r="W25" i="24"/>
  <c r="W24" i="24"/>
  <c r="K16" i="24"/>
  <c r="K12" i="24"/>
  <c r="K23" i="24"/>
  <c r="K27" i="24"/>
  <c r="L35" i="23"/>
  <c r="J37" i="24"/>
  <c r="L14" i="24"/>
  <c r="AR31" i="23"/>
  <c r="R17" i="24"/>
  <c r="R23" i="24"/>
  <c r="R29" i="24"/>
  <c r="L23" i="24"/>
  <c r="H13" i="15"/>
  <c r="J13" i="24"/>
  <c r="J30" i="24"/>
  <c r="AR13" i="23"/>
  <c r="AR13" i="15"/>
  <c r="AR29" i="15"/>
  <c r="AR14" i="22"/>
  <c r="L26" i="24"/>
  <c r="AD27" i="24"/>
  <c r="R18" i="24"/>
  <c r="J18" i="24"/>
  <c r="L25" i="24"/>
  <c r="AV13" i="15"/>
  <c r="AF35" i="23"/>
  <c r="AV29" i="15"/>
  <c r="J34" i="24"/>
  <c r="AD12" i="24"/>
  <c r="AD16" i="24"/>
  <c r="F41" i="24"/>
  <c r="H31" i="23"/>
  <c r="L16" i="24"/>
  <c r="AR31" i="22"/>
  <c r="H13" i="23"/>
  <c r="AV31" i="23"/>
  <c r="AG25" i="24"/>
  <c r="AV13" i="23"/>
  <c r="AJ35" i="23"/>
  <c r="R19" i="24"/>
  <c r="AD14" i="24"/>
  <c r="AG24" i="24"/>
  <c r="J29" i="24"/>
  <c r="J17" i="24"/>
  <c r="V12" i="24"/>
  <c r="L15" i="24"/>
  <c r="AG14" i="24"/>
  <c r="AD23" i="24"/>
  <c r="J28" i="24"/>
  <c r="L27" i="24"/>
  <c r="AN35" i="23"/>
  <c r="H29" i="15"/>
  <c r="AD25" i="24"/>
  <c r="J24" i="24"/>
  <c r="J38" i="24"/>
  <c r="F39" i="24"/>
  <c r="F40" i="24"/>
  <c r="R28" i="24"/>
  <c r="V16" i="24"/>
  <c r="AD26" i="24"/>
  <c r="V15" i="24"/>
  <c r="V27" i="24"/>
  <c r="H12" i="22"/>
  <c r="J36" i="24"/>
  <c r="F35" i="24"/>
  <c r="R30" i="24"/>
  <c r="R13" i="24"/>
  <c r="V26" i="24"/>
  <c r="X36" i="23"/>
  <c r="AV14" i="22"/>
  <c r="AD15" i="24"/>
  <c r="H31" i="22"/>
  <c r="L12" i="24"/>
  <c r="AV31" i="22"/>
  <c r="AB36" i="23"/>
  <c r="K18" i="24" l="1"/>
  <c r="K13" i="24"/>
  <c r="W15" i="24"/>
  <c r="K30" i="24"/>
  <c r="K37" i="24"/>
  <c r="K29" i="24"/>
  <c r="W26" i="24"/>
  <c r="K24" i="24"/>
  <c r="K17" i="24"/>
  <c r="K28" i="24"/>
  <c r="K36" i="24"/>
  <c r="X37" i="23"/>
  <c r="AB37" i="23"/>
  <c r="W16" i="24"/>
  <c r="W12" i="24"/>
  <c r="W27" i="24"/>
  <c r="K38" i="24"/>
  <c r="K34" i="24"/>
  <c r="AD18" i="24"/>
  <c r="AD13" i="24"/>
  <c r="L17" i="24"/>
  <c r="L18" i="24"/>
  <c r="V19" i="24"/>
  <c r="AD17" i="24"/>
  <c r="AV14" i="15"/>
  <c r="V30" i="24"/>
  <c r="AV30" i="15"/>
  <c r="V18" i="24"/>
  <c r="AD38" i="24"/>
  <c r="R37" i="24"/>
  <c r="AR14" i="23"/>
  <c r="V23" i="24"/>
  <c r="AR15" i="22"/>
  <c r="AV14" i="23"/>
  <c r="H13" i="22"/>
  <c r="AD29" i="24"/>
  <c r="V28" i="24"/>
  <c r="H30" i="15"/>
  <c r="V29" i="24"/>
  <c r="L36" i="23"/>
  <c r="AR32" i="22"/>
  <c r="AD34" i="24"/>
  <c r="AD36" i="24"/>
  <c r="AR14" i="15"/>
  <c r="V36" i="24"/>
  <c r="AD28" i="24"/>
  <c r="AG15" i="24"/>
  <c r="AG12" i="24"/>
  <c r="J41" i="24"/>
  <c r="AV15" i="22"/>
  <c r="L29" i="24"/>
  <c r="L28" i="24"/>
  <c r="L24" i="24"/>
  <c r="AD24" i="24"/>
  <c r="V13" i="24"/>
  <c r="AV32" i="22"/>
  <c r="AD37" i="24"/>
  <c r="AJ36" i="23"/>
  <c r="H32" i="22"/>
  <c r="AG27" i="24"/>
  <c r="AG16" i="24"/>
  <c r="AR32" i="23"/>
  <c r="L30" i="24"/>
  <c r="H14" i="23"/>
  <c r="J35" i="24"/>
  <c r="AV32" i="23"/>
  <c r="AD30" i="24"/>
  <c r="V35" i="24"/>
  <c r="H14" i="15"/>
  <c r="V17" i="24"/>
  <c r="H32" i="23"/>
  <c r="J40" i="24"/>
  <c r="AR30" i="15"/>
  <c r="J39" i="24"/>
  <c r="AN36" i="23"/>
  <c r="L13" i="24"/>
  <c r="X27" i="24"/>
  <c r="R38" i="24"/>
  <c r="AF36" i="23"/>
  <c r="AG26" i="24"/>
  <c r="K35" i="24" l="1"/>
  <c r="W18" i="24"/>
  <c r="K40" i="24"/>
  <c r="W29" i="24"/>
  <c r="W13" i="24"/>
  <c r="W19" i="24"/>
  <c r="K41" i="24"/>
  <c r="K39" i="24"/>
  <c r="W28" i="24"/>
  <c r="W23" i="24"/>
  <c r="W30" i="24"/>
  <c r="W17" i="24"/>
  <c r="AN37" i="23"/>
  <c r="AF37" i="23"/>
  <c r="AJ37" i="23"/>
  <c r="L37" i="23"/>
  <c r="W35" i="24"/>
  <c r="W36" i="24"/>
  <c r="AG28" i="24"/>
  <c r="H33" i="22"/>
  <c r="R41" i="24"/>
  <c r="H31" i="15"/>
  <c r="AV15" i="23"/>
  <c r="L38" i="24"/>
  <c r="AG35" i="24"/>
  <c r="V38" i="24"/>
  <c r="V37" i="24"/>
  <c r="X35" i="24"/>
  <c r="AG13" i="24"/>
  <c r="H15" i="23"/>
  <c r="R40" i="24"/>
  <c r="L36" i="24"/>
  <c r="L35" i="24"/>
  <c r="AG18" i="24"/>
  <c r="AD35" i="24"/>
  <c r="AR33" i="22"/>
  <c r="AR31" i="15"/>
  <c r="AR33" i="23"/>
  <c r="AR15" i="15"/>
  <c r="X14" i="24"/>
  <c r="X26" i="24"/>
  <c r="L34" i="24"/>
  <c r="AG23" i="24"/>
  <c r="AD40" i="24"/>
  <c r="AG17" i="24"/>
  <c r="AG19" i="24"/>
  <c r="AD41" i="24"/>
  <c r="H15" i="15"/>
  <c r="AG36" i="24"/>
  <c r="X13" i="24"/>
  <c r="H14" i="22"/>
  <c r="AV33" i="23"/>
  <c r="X23" i="24"/>
  <c r="AG30" i="24"/>
  <c r="X15" i="24"/>
  <c r="X30" i="24"/>
  <c r="L40" i="24"/>
  <c r="R39" i="24"/>
  <c r="AV15" i="15"/>
  <c r="X16" i="24"/>
  <c r="L41" i="24"/>
  <c r="X12" i="24"/>
  <c r="AD39" i="24"/>
  <c r="AV16" i="22"/>
  <c r="L37" i="24"/>
  <c r="X18" i="24"/>
  <c r="R34" i="24"/>
  <c r="X24" i="24"/>
  <c r="L39" i="24"/>
  <c r="X17" i="24"/>
  <c r="AG29" i="24"/>
  <c r="AV31" i="15"/>
  <c r="AR16" i="22"/>
  <c r="X36" i="24"/>
  <c r="X28" i="24"/>
  <c r="AR15" i="23"/>
  <c r="X29" i="24"/>
  <c r="H33" i="23"/>
  <c r="X25" i="24"/>
  <c r="X19" i="24"/>
  <c r="AV33" i="22"/>
  <c r="W37" i="24" l="1"/>
  <c r="W38" i="24"/>
  <c r="AR34" i="23"/>
  <c r="X37" i="24"/>
  <c r="AV16" i="15"/>
  <c r="H34" i="23"/>
  <c r="V41" i="24"/>
  <c r="V39" i="24"/>
  <c r="AG38" i="24"/>
  <c r="AV32" i="15"/>
  <c r="H34" i="22"/>
  <c r="X38" i="24"/>
  <c r="H15" i="22"/>
  <c r="H16" i="23"/>
  <c r="AV34" i="22"/>
  <c r="H16" i="15"/>
  <c r="H32" i="15"/>
  <c r="AR17" i="22"/>
  <c r="AR32" i="15"/>
  <c r="AR34" i="22"/>
  <c r="AR16" i="15"/>
  <c r="AG37" i="24"/>
  <c r="V40" i="24"/>
  <c r="V34" i="24"/>
  <c r="AV17" i="22"/>
  <c r="AV34" i="23"/>
  <c r="AR16" i="23"/>
  <c r="AV16" i="23"/>
  <c r="W41" i="24" l="1"/>
  <c r="W40" i="24"/>
  <c r="W39" i="24"/>
  <c r="W34" i="24"/>
  <c r="AR17" i="15"/>
  <c r="H35" i="22"/>
  <c r="AV18" i="22"/>
  <c r="AR18" i="22"/>
  <c r="AR33" i="15"/>
  <c r="AV33" i="15"/>
  <c r="AV35" i="22"/>
  <c r="AR35" i="22"/>
  <c r="AV17" i="15"/>
  <c r="H33" i="15"/>
  <c r="H17" i="15"/>
  <c r="F32" i="24"/>
  <c r="F22" i="24"/>
  <c r="R21" i="24"/>
  <c r="F11" i="24"/>
  <c r="X34" i="24"/>
  <c r="F31" i="24"/>
  <c r="AG34" i="24"/>
  <c r="F43" i="24"/>
  <c r="AG40" i="24"/>
  <c r="AR35" i="23"/>
  <c r="J19" i="24"/>
  <c r="X39" i="24"/>
  <c r="X41" i="24"/>
  <c r="AG41" i="24"/>
  <c r="R20" i="24"/>
  <c r="AR17" i="23"/>
  <c r="H17" i="23"/>
  <c r="AG39" i="24"/>
  <c r="H16" i="22"/>
  <c r="F21" i="24"/>
  <c r="H35" i="23"/>
  <c r="X40" i="24"/>
  <c r="AV17" i="23"/>
  <c r="F20" i="24"/>
  <c r="R11" i="24"/>
  <c r="AV35" i="23"/>
  <c r="F42" i="24"/>
  <c r="AR18" i="23" l="1"/>
  <c r="H18" i="23"/>
  <c r="F118" i="24"/>
  <c r="R118" i="24"/>
  <c r="R115" i="24"/>
  <c r="F115" i="24"/>
  <c r="R116" i="24"/>
  <c r="F116" i="24"/>
  <c r="AV18" i="23"/>
  <c r="K19" i="24"/>
  <c r="J31" i="24"/>
  <c r="J21" i="24"/>
  <c r="J43" i="24"/>
  <c r="H36" i="23"/>
  <c r="J42" i="24"/>
  <c r="J22" i="24"/>
  <c r="AD19" i="24"/>
  <c r="R32" i="24"/>
  <c r="J20" i="24"/>
  <c r="H17" i="22"/>
  <c r="R22" i="24"/>
  <c r="J11" i="24"/>
  <c r="J32" i="24"/>
  <c r="V20" i="24"/>
  <c r="R31" i="24"/>
  <c r="AR36" i="23"/>
  <c r="V21" i="24"/>
  <c r="AV36" i="23"/>
  <c r="L19" i="24"/>
  <c r="V11" i="24"/>
  <c r="W20" i="24" l="1"/>
  <c r="W11" i="24"/>
  <c r="J118" i="24"/>
  <c r="W21" i="24"/>
  <c r="V118" i="24"/>
  <c r="K32" i="24"/>
  <c r="K20" i="24"/>
  <c r="K42" i="24"/>
  <c r="K22" i="24"/>
  <c r="K11" i="24"/>
  <c r="K43" i="24"/>
  <c r="J116" i="24"/>
  <c r="K31" i="24"/>
  <c r="V116" i="24"/>
  <c r="J115" i="24"/>
  <c r="K21" i="24"/>
  <c r="V115" i="24"/>
  <c r="H37" i="23"/>
  <c r="AR37" i="23"/>
  <c r="R119" i="24"/>
  <c r="F119" i="24"/>
  <c r="AV37" i="23"/>
  <c r="H18" i="22"/>
  <c r="V22" i="24"/>
  <c r="R43" i="24"/>
  <c r="AD21" i="24"/>
  <c r="X11" i="24"/>
  <c r="AD11" i="24"/>
  <c r="AD22" i="24"/>
  <c r="AD31" i="24"/>
  <c r="L43" i="24"/>
  <c r="X21" i="24"/>
  <c r="AD32" i="24"/>
  <c r="L20" i="24"/>
  <c r="L31" i="24"/>
  <c r="L22" i="24"/>
  <c r="AD43" i="24"/>
  <c r="F33" i="24"/>
  <c r="AD20" i="24"/>
  <c r="AG11" i="24"/>
  <c r="L32" i="24"/>
  <c r="L21" i="24"/>
  <c r="R42" i="24"/>
  <c r="L11" i="24"/>
  <c r="R33" i="24"/>
  <c r="AG20" i="24"/>
  <c r="AG21" i="24"/>
  <c r="X20" i="24"/>
  <c r="AD42" i="24"/>
  <c r="L42" i="24"/>
  <c r="V31" i="24"/>
  <c r="V32" i="24"/>
  <c r="W31" i="24" l="1"/>
  <c r="W32" i="24"/>
  <c r="K118" i="24"/>
  <c r="W118" i="24"/>
  <c r="X118" i="24"/>
  <c r="J119" i="24"/>
  <c r="V119" i="24"/>
  <c r="W22" i="24"/>
  <c r="W115" i="24"/>
  <c r="K116" i="24"/>
  <c r="W116" i="24"/>
  <c r="K115" i="24"/>
  <c r="X115" i="24"/>
  <c r="X116" i="24"/>
  <c r="R117" i="24"/>
  <c r="F117" i="24"/>
  <c r="F120" i="24"/>
  <c r="R120" i="24"/>
  <c r="L115" i="24"/>
  <c r="V33" i="24"/>
  <c r="L118" i="24"/>
  <c r="R129" i="24"/>
  <c r="X22" i="24"/>
  <c r="J33" i="24"/>
  <c r="AG32" i="24"/>
  <c r="L116" i="24"/>
  <c r="X31" i="24"/>
  <c r="V42" i="24"/>
  <c r="X32" i="24"/>
  <c r="AG31" i="24"/>
  <c r="V43" i="24"/>
  <c r="AG22" i="24"/>
  <c r="R126" i="24"/>
  <c r="R127" i="24"/>
  <c r="W119" i="24" l="1"/>
  <c r="K33" i="24"/>
  <c r="W117" i="24" s="1"/>
  <c r="J117" i="24"/>
  <c r="V117" i="24"/>
  <c r="W33" i="24"/>
  <c r="K119" i="24"/>
  <c r="X119" i="24"/>
  <c r="W42" i="24"/>
  <c r="V120" i="24"/>
  <c r="J120" i="24"/>
  <c r="W43" i="24"/>
  <c r="X42" i="24"/>
  <c r="X33" i="24"/>
  <c r="AD33" i="24"/>
  <c r="X43" i="24"/>
  <c r="T127" i="24"/>
  <c r="AG43" i="24"/>
  <c r="AG33" i="24"/>
  <c r="T129" i="24"/>
  <c r="R130" i="24"/>
  <c r="AG42" i="24"/>
  <c r="L119" i="24"/>
  <c r="T126" i="24"/>
  <c r="L33" i="24"/>
  <c r="R128" i="24"/>
  <c r="I129" i="24" l="1"/>
  <c r="J129" i="24"/>
  <c r="K129" i="24"/>
  <c r="U129" i="24"/>
  <c r="W129" i="24" s="1"/>
  <c r="X129" i="24" s="1"/>
  <c r="K126" i="24"/>
  <c r="I126" i="24"/>
  <c r="U126" i="24"/>
  <c r="W126" i="24" s="1"/>
  <c r="X126" i="24" s="1"/>
  <c r="J126" i="24"/>
  <c r="K117" i="24"/>
  <c r="X117" i="24"/>
  <c r="I127" i="24"/>
  <c r="K127" i="24"/>
  <c r="J127" i="24"/>
  <c r="U127" i="24"/>
  <c r="W127" i="24" s="1"/>
  <c r="X127" i="24" s="1"/>
  <c r="W120" i="24"/>
  <c r="K120" i="24"/>
  <c r="X120" i="24"/>
  <c r="T130" i="24"/>
  <c r="T128" i="24"/>
  <c r="L117" i="24"/>
  <c r="R131" i="24"/>
  <c r="T131" i="24" s="1"/>
  <c r="L120" i="24"/>
  <c r="U130" i="24" l="1"/>
  <c r="W130" i="24" s="1"/>
  <c r="X130" i="24" s="1"/>
  <c r="K130" i="24"/>
  <c r="J130" i="24"/>
  <c r="I130" i="24"/>
  <c r="U128" i="24"/>
  <c r="W128" i="24" s="1"/>
  <c r="X128" i="24" s="1"/>
  <c r="J128" i="24"/>
  <c r="K128" i="24"/>
  <c r="I128" i="24"/>
  <c r="I131" i="24"/>
  <c r="K131" i="24"/>
  <c r="U131" i="24"/>
  <c r="W131" i="24" s="1"/>
  <c r="X131" i="24" s="1"/>
  <c r="J131" i="24"/>
</calcChain>
</file>

<file path=xl/sharedStrings.xml><?xml version="1.0" encoding="utf-8"?>
<sst xmlns="http://schemas.openxmlformats.org/spreadsheetml/2006/main" count="935" uniqueCount="355">
  <si>
    <t>(dB)</t>
  </si>
  <si>
    <t>(K)</t>
  </si>
  <si>
    <t>(GHz)</t>
  </si>
  <si>
    <t>Gain</t>
  </si>
  <si>
    <t>OMT</t>
  </si>
  <si>
    <t>Weather_Radome</t>
  </si>
  <si>
    <t>Vacuum_Window</t>
  </si>
  <si>
    <t>Frequency:</t>
  </si>
  <si>
    <t>IR_Filter</t>
  </si>
  <si>
    <t>Feed_Horn</t>
  </si>
  <si>
    <t>Cal_Coupler</t>
  </si>
  <si>
    <t>Freq.</t>
  </si>
  <si>
    <t>Band</t>
  </si>
  <si>
    <t>#</t>
  </si>
  <si>
    <t>NOTES:</t>
  </si>
  <si>
    <t>[3] - Vacuum window and IR filter loss estimates from Weinreb/Hani (2017).</t>
  </si>
  <si>
    <t>Feed Horn [4]</t>
  </si>
  <si>
    <t>(dB/m)</t>
  </si>
  <si>
    <t xml:space="preserve">[4] - Feed loss estimates from Weinreb/Hani (Bands 1, 2), and Hayward (2006) </t>
  </si>
  <si>
    <t>Lossless Input</t>
  </si>
  <si>
    <t>Component Type</t>
  </si>
  <si>
    <t>Te, K</t>
  </si>
  <si>
    <t>G, dB</t>
  </si>
  <si>
    <t>Cascaded Values:</t>
  </si>
  <si>
    <t>Gcas</t>
  </si>
  <si>
    <t>Tcas</t>
  </si>
  <si>
    <t>GHz</t>
  </si>
  <si>
    <t>dB</t>
  </si>
  <si>
    <t>Trx</t>
  </si>
  <si>
    <t>K</t>
  </si>
  <si>
    <t>m</t>
  </si>
  <si>
    <t>Coax (086 SS)</t>
  </si>
  <si>
    <t>Phys.
Temp.</t>
  </si>
  <si>
    <t>T-Line
Len.</t>
  </si>
  <si>
    <t>Coax_086SS</t>
  </si>
  <si>
    <t>Coax_141Cu</t>
  </si>
  <si>
    <t>Coax (141 Cu)</t>
  </si>
  <si>
    <t>Radome [2]</t>
  </si>
  <si>
    <t>Passive RF Component Gains  vs. Frequency</t>
  </si>
  <si>
    <t>Tn [1]</t>
  </si>
  <si>
    <t>Ga [1]</t>
  </si>
  <si>
    <t>Ga [2]</t>
  </si>
  <si>
    <t>Tn [2]</t>
  </si>
  <si>
    <t>Ga [3]</t>
  </si>
  <si>
    <t>Tn [3]</t>
  </si>
  <si>
    <t>LNA Gain and Noise Temperature vs. Frequency, Bands 1-6</t>
  </si>
  <si>
    <t>Ga [4]</t>
  </si>
  <si>
    <t>Tn [4]</t>
  </si>
  <si>
    <t>[3] - Band 3 LNA data is a Caltech 1-18 GHz GaAs MMIC LNA (p/n CIT-118), based on OMMIC WBA118B device, T=19K (August 2014). 
       A version with a waveguide input, or an NRAO or Low Noise Factory (LNF) amp would likely perform better, by ~0.5 - 2K.</t>
  </si>
  <si>
    <t>Ga [5]</t>
  </si>
  <si>
    <t>Tn [5]</t>
  </si>
  <si>
    <t>Ga [6]</t>
  </si>
  <si>
    <t>Tn [6]</t>
  </si>
  <si>
    <t>LNA_Band1</t>
  </si>
  <si>
    <t>LNA_Band2</t>
  </si>
  <si>
    <t>LNA_Band3</t>
  </si>
  <si>
    <t>LNA_Band4</t>
  </si>
  <si>
    <t>LNA_Band5</t>
  </si>
  <si>
    <t>LNA_Band6</t>
  </si>
  <si>
    <t>Window [3]</t>
  </si>
  <si>
    <t>IR Filter [3]</t>
  </si>
  <si>
    <t>TLine
Len.</t>
  </si>
  <si>
    <t>Zenith Elevation</t>
  </si>
  <si>
    <t>45 Degree Elevation</t>
  </si>
  <si>
    <r>
      <t>Updated</t>
    </r>
    <r>
      <rPr>
        <i/>
        <sz val="11"/>
        <rFont val="Arial"/>
        <family val="2"/>
      </rPr>
      <t xml:space="preserve">: </t>
    </r>
  </si>
  <si>
    <t>ngVLA Receiver Cascaded Noise &amp; Gain (Trx, G):   Low Bands (1 &amp; 2)</t>
  </si>
  <si>
    <t>ngVLA Receiver Cascaded Noise &amp; Gain (Trx, G):   Mid Bands (3 &amp; 4)</t>
  </si>
  <si>
    <t>ngVLA Receiver Cascaded Noise &amp; Gain (Trx, G):   High Bands (5 &amp; 6)</t>
  </si>
  <si>
    <t>Tspill</t>
  </si>
  <si>
    <t>Tsky</t>
  </si>
  <si>
    <t>Tsys</t>
  </si>
  <si>
    <t>for Band 3-5 frequencies. Band 6 is a SWAG.</t>
  </si>
  <si>
    <r>
      <rPr>
        <b/>
        <i/>
        <sz val="12"/>
        <color rgb="FFFF0000"/>
        <rFont val="Calibri"/>
        <family val="2"/>
      </rPr>
      <t>η</t>
    </r>
    <r>
      <rPr>
        <b/>
        <i/>
        <vertAlign val="subscript"/>
        <sz val="12"/>
        <color rgb="FFFF0000"/>
        <rFont val="Arial"/>
        <family val="2"/>
      </rPr>
      <t>A</t>
    </r>
  </si>
  <si>
    <t>Point</t>
  </si>
  <si>
    <t xml:space="preserve">EIA: </t>
  </si>
  <si>
    <t>WR34</t>
  </si>
  <si>
    <t>WR22</t>
  </si>
  <si>
    <t>WR10</t>
  </si>
  <si>
    <t>WG_Band3</t>
  </si>
  <si>
    <t>WG_Band4</t>
  </si>
  <si>
    <t>WG_Band5</t>
  </si>
  <si>
    <t>WG_Band6</t>
  </si>
  <si>
    <r>
      <t xml:space="preserve">[1] - Numbers highlighted in </t>
    </r>
    <r>
      <rPr>
        <sz val="10"/>
        <color rgb="FFFFCC00"/>
        <rFont val="Arial"/>
        <family val="2"/>
      </rPr>
      <t>yellow</t>
    </r>
    <r>
      <rPr>
        <sz val="10"/>
        <rFont val="Arial"/>
        <family val="2"/>
      </rPr>
      <t xml:space="preserve"> are either undetermined or rough estimates.</t>
    </r>
  </si>
  <si>
    <t xml:space="preserve">[2] - Weather radome assumed to be Gore R7906 equivalent (PTFE, 0.012" thk).  Data on R7906 performance from Hayward (2004, 2006). </t>
  </si>
  <si>
    <t>Notes and Revision History</t>
  </si>
  <si>
    <t>GENERAL NOTES:</t>
  </si>
  <si>
    <t>3.  Aperture efficiency includes all contributions from the feed and antenna (illumination, spillover, phase, surface, etc.)</t>
  </si>
  <si>
    <t>4.  Spillover noise is included in Tsys, where it can be predicted.</t>
  </si>
  <si>
    <t>(Ver. 2)  Fixed cascaded noise calculation errors, new Trx plot vs frequency, restructed tables and referencing.</t>
  </si>
  <si>
    <t>(Ver. 3)  Revised LNA data to reflect actual available devices, added reference notes. Restructured waveguide data tables.</t>
  </si>
  <si>
    <t>REVISION HISTORY (from ver. 1):</t>
  </si>
  <si>
    <t>(Ver. 1)  First released version. Approximate Trx analysis, with 3 frequency points per band (band edges, midband).</t>
  </si>
  <si>
    <t>(Ver. 4)  Increased frequency points to 7 per band, from the original 3.</t>
  </si>
  <si>
    <t>(Ver. 5)  Added new data tabs for antenna and feed parameters, sky temperature. Added a second plot with Tsys.</t>
  </si>
  <si>
    <t>(Ver. 7)  Modified SEFD calc for ngVLA expansion from 214 to 263 antennas. Added notes &amp; revision history tab.</t>
  </si>
  <si>
    <r>
      <t>(Ver. 6)  Increased frequency points to 10 per band, reformatted plots. Updated Band 4 LNA data. Added Tsys/</t>
    </r>
    <r>
      <rPr>
        <sz val="11"/>
        <rFont val="Calibri"/>
        <family val="2"/>
      </rPr>
      <t xml:space="preserve">η, SEFD data. </t>
    </r>
  </si>
  <si>
    <r>
      <rPr>
        <b/>
        <i/>
        <sz val="12"/>
        <rFont val="Calibri"/>
        <family val="2"/>
      </rPr>
      <t>η</t>
    </r>
    <r>
      <rPr>
        <b/>
        <i/>
        <vertAlign val="subscript"/>
        <sz val="12"/>
        <rFont val="Arial"/>
        <family val="2"/>
      </rPr>
      <t>A</t>
    </r>
  </si>
  <si>
    <t>(min)</t>
  </si>
  <si>
    <t>(max)</t>
  </si>
  <si>
    <t>Waveguide and OMT Loss vs. Frequency, Bands 3-6</t>
  </si>
  <si>
    <t>[5] - WG coupler thru loss for Bands 3-5 from Hayward. Bands 1 &amp; 2 from vendor data, assuming 2-octave coax type.</t>
  </si>
  <si>
    <t>[1] - All loss calculations assume &gt;5 skin depths of Au plating, air dielectric</t>
  </si>
  <si>
    <t>WG</t>
  </si>
  <si>
    <t xml:space="preserve">[2] - OMT in Bands 3-6 is double-ridged WG type (Gonzalez, 2018). Nominal loss for Band 6 is </t>
  </si>
  <si>
    <t>equivalent waveguide length is scaled by the increase in waveguide dimensions.</t>
  </si>
  <si>
    <t xml:space="preserve">roughly equivalent to a  50 mm-long WR10 waveguide section. For Bands 3, 4 and 5, this </t>
  </si>
  <si>
    <t>OMT_Band3</t>
  </si>
  <si>
    <t>OMT_Band4</t>
  </si>
  <si>
    <t>OMT_Band5</t>
  </si>
  <si>
    <t>OMT_Band6</t>
  </si>
  <si>
    <t>(Lossless)</t>
  </si>
  <si>
    <t>(Ver. 8)  Revised OMT loss data to use the NAOJ ALMA Band 2 OMT design on Band 6, with scaling for Bands 3-5.</t>
  </si>
  <si>
    <t>WR56.3</t>
  </si>
  <si>
    <t>(Ver. 9)  Added a second cryogenic LNA to the cascade on Band 6, to meet the 30 dB min. gain requirement.</t>
  </si>
  <si>
    <t>dBm/GHz</t>
  </si>
  <si>
    <r>
      <t>P</t>
    </r>
    <r>
      <rPr>
        <b/>
        <vertAlign val="subscript"/>
        <sz val="11"/>
        <color rgb="FF00B050"/>
        <rFont val="Arial"/>
        <family val="2"/>
      </rPr>
      <t>OUT</t>
    </r>
    <r>
      <rPr>
        <b/>
        <sz val="11"/>
        <color rgb="FF0000FF"/>
        <rFont val="Arial"/>
        <family val="2"/>
      </rPr>
      <t/>
    </r>
  </si>
  <si>
    <r>
      <t>P</t>
    </r>
    <r>
      <rPr>
        <b/>
        <vertAlign val="subscript"/>
        <sz val="11"/>
        <rFont val="Arial"/>
        <family val="2"/>
      </rPr>
      <t>AVG</t>
    </r>
  </si>
  <si>
    <t>Performance Summary, ngVLA Bands 1-6</t>
  </si>
  <si>
    <t>Removed calculations of Tsys and SEFD from summary; these were found to not be sufficiently accurate.</t>
  </si>
  <si>
    <t>Added preliminary aperture efficiency data from CSIRO for their Band 2 design, and a plot against Caltech QRFH.</t>
  </si>
  <si>
    <r>
      <t>15</t>
    </r>
    <r>
      <rPr>
        <sz val="9"/>
        <rFont val="Calibri"/>
        <family val="2"/>
      </rPr>
      <t>°</t>
    </r>
  </si>
  <si>
    <t>30°</t>
  </si>
  <si>
    <r>
      <t>45</t>
    </r>
    <r>
      <rPr>
        <sz val="9"/>
        <rFont val="Calibri"/>
        <family val="2"/>
      </rPr>
      <t>°</t>
    </r>
  </si>
  <si>
    <t>60°</t>
  </si>
  <si>
    <t>90°</t>
  </si>
  <si>
    <t>5.  Surface (Ruze) accuracy is an editable parameter; changing it will update the overall aperture efficiencies.</t>
  </si>
  <si>
    <t>Added spillover data from Caltech Band 1 QRFH for elevation angles of 15, 30, 45, 60 and 90 degrees.</t>
  </si>
  <si>
    <r>
      <t>A</t>
    </r>
    <r>
      <rPr>
        <b/>
        <vertAlign val="subscript"/>
        <sz val="11"/>
        <color rgb="FF0000FF"/>
        <rFont val="Arial"/>
        <family val="2"/>
      </rPr>
      <t>E</t>
    </r>
    <r>
      <rPr>
        <b/>
        <sz val="11"/>
        <color rgb="FF0000FF"/>
        <rFont val="Arial"/>
        <family val="2"/>
      </rPr>
      <t>/T</t>
    </r>
    <r>
      <rPr>
        <b/>
        <vertAlign val="subscript"/>
        <sz val="11"/>
        <color rgb="FF0000FF"/>
        <rFont val="Arial"/>
        <family val="2"/>
      </rPr>
      <t>SYS</t>
    </r>
    <r>
      <rPr>
        <b/>
        <sz val="11"/>
        <color rgb="FF0000FF"/>
        <rFont val="Arial"/>
        <family val="2"/>
      </rPr>
      <t/>
    </r>
  </si>
  <si>
    <r>
      <t>m</t>
    </r>
    <r>
      <rPr>
        <vertAlign val="superscript"/>
        <sz val="10"/>
        <color rgb="FF0000FF"/>
        <rFont val="Arial"/>
        <family val="2"/>
      </rPr>
      <t>2</t>
    </r>
    <r>
      <rPr>
        <sz val="10"/>
        <color rgb="FF0000FF"/>
        <rFont val="Arial"/>
        <family val="2"/>
      </rPr>
      <t>/K</t>
    </r>
  </si>
  <si>
    <t>Restored calculation of Tsys to summary; replaced calculation of Tsys/eta with Aeff/Tsys as well.</t>
  </si>
  <si>
    <t>Band 2 (CSIRO), Tspill Data</t>
  </si>
  <si>
    <t>60 Degree Elevation</t>
  </si>
  <si>
    <t>30 Degree Elevation</t>
  </si>
  <si>
    <t>15 Degree Elevation</t>
  </si>
  <si>
    <t>Bands 1 &amp; 2 have an OMT that is integral with the feed horn, so no table is needed.</t>
  </si>
  <si>
    <t>Fixed a minor bug in Tspill lookup for Bands 3-6: it was using zenith angle, rather than elevation angle.</t>
  </si>
  <si>
    <t>Revised LNA data for Bands 1 &amp; 2 to use different, newer devices with better performance.</t>
  </si>
  <si>
    <t>[8] - McCullock, Grahn, Melhuish, Nilsson, Piccirillo, Schleeh, Wadefalk, "Dependence of noise temperature on physical temperature for 
       cryogenic low-noise amplifiers", SPIE J. Astron. Telesc. Instrum. Syst. 3(1), 014003 (2017).</t>
  </si>
  <si>
    <t>Atmospheric Temperature Modeled Data for VLA Site, 1-120 GHz, PWV of 1mm, 6mm and 13mm, At Zenith, 60, 45, 30 and 15 Degrees Elevation</t>
  </si>
  <si>
    <t>Tatm (K) at PWV  =</t>
  </si>
  <si>
    <t>Added Tatm data for elevation angles of 15, 30, and 60 degrees, all three PWVs; added elevation angle selections.</t>
  </si>
  <si>
    <t>Included galactic and CMB temperatures (Tbg) in all Tsky values, corrected for atmospheric attenuation</t>
  </si>
  <si>
    <t>Applied Planck formula to correct each component of Tsys for deviation from Rayleigh-Jeans approximation.</t>
  </si>
  <si>
    <t xml:space="preserve">Added reflector surface loss noise data from NRC report (2019) to Tsys in Performance Summary. </t>
  </si>
  <si>
    <t>Included a term derived from surface loss noise into total aperature efficiency in the Performance Summary.</t>
  </si>
  <si>
    <t xml:space="preserve">Antenna Elevation (deg): </t>
  </si>
  <si>
    <t xml:space="preserve">Surface Tol. (μm RMS): </t>
  </si>
  <si>
    <t xml:space="preserve"> 80K Stage Temp (K)</t>
  </si>
  <si>
    <t xml:space="preserve"> 20K Stage Temp (K)</t>
  </si>
  <si>
    <t>Eliminated the need for a 'REFRESH' button to force recalculation on the 'Summary' worksheet</t>
  </si>
  <si>
    <t>Notes:</t>
  </si>
  <si>
    <t xml:space="preserve"> Inter-Stage Temp (K)</t>
  </si>
  <si>
    <r>
      <t>Component Lookup Table Names</t>
    </r>
    <r>
      <rPr>
        <sz val="11"/>
        <rFont val="Arial"/>
        <family val="2"/>
      </rPr>
      <t xml:space="preserve"> (normally not changed)</t>
    </r>
    <r>
      <rPr>
        <b/>
        <sz val="11"/>
        <rFont val="Arial"/>
        <family val="2"/>
      </rPr>
      <t>:</t>
    </r>
  </si>
  <si>
    <t>Receiver Noise Cascade Analysis:  Internal constants</t>
  </si>
  <si>
    <t xml:space="preserve"> Intermed. Stage Temp (K)</t>
  </si>
  <si>
    <t xml:space="preserve"> Ambient Stage Temp (K)</t>
  </si>
  <si>
    <t>Unlike with the original pulldown list, a value change in the temperature table will update all corresponding</t>
  </si>
  <si>
    <r>
      <t xml:space="preserve">6.  Antenna elevation is selectable as </t>
    </r>
    <r>
      <rPr>
        <b/>
        <sz val="11"/>
        <rFont val="Calibri"/>
        <family val="2"/>
        <scheme val="minor"/>
      </rPr>
      <t>15, 30, 45, 60, or 90</t>
    </r>
    <r>
      <rPr>
        <sz val="11"/>
        <rFont val="Calibri"/>
        <family val="2"/>
        <scheme val="minor"/>
      </rPr>
      <t xml:space="preserve"> degrees; dynamically changes Tsky and Tspill.</t>
    </r>
  </si>
  <si>
    <t>Temp.
Stage</t>
  </si>
  <si>
    <t>values in the cascade worksheets, and force an automatic recalculation of the summary page.</t>
  </si>
  <si>
    <t>Updated receiver cascade sheets to use an index to a temperature table, instead of a data pulldown.</t>
  </si>
  <si>
    <t>[6] - Coupling factor data is nominal; eventually will be updated with actual measured data.</t>
  </si>
  <si>
    <t>Cal Coupler [5,6]</t>
  </si>
  <si>
    <t>Coupling</t>
  </si>
  <si>
    <t>Cal_Inj_Band1</t>
  </si>
  <si>
    <t>Cal_Inj_Band2</t>
  </si>
  <si>
    <t>Cal_Inj_Band3</t>
  </si>
  <si>
    <t>Cal_Inj_Band4</t>
  </si>
  <si>
    <t>Cal_Inj_Band5</t>
  </si>
  <si>
    <t>Cal_Inj_Band6</t>
  </si>
  <si>
    <t>(Ver. 10)   Corrected the LNA output on Bands 3, 4: should be 086 SS coax. Extended cable loss data to 35 GHz.</t>
  </si>
  <si>
    <t>Added a custom waveguide selection (WR56.3) on Band 3, to reduce loss at lower band edge.</t>
  </si>
  <si>
    <t>Also added an extra 1K to Tsys in all configurations, to account for the ngVLA IRD contribution.</t>
  </si>
  <si>
    <t>Added macro function to calculate waveguide loss directly. Eliminated redundant radome loss on Bands 1 &amp;2.</t>
  </si>
  <si>
    <t>Added macro function to generate XML-formatted data file for ngVLA sensitivity calculator.</t>
  </si>
  <si>
    <t>This was implemented as an additional component in the cascade directly after the thru coupler component.</t>
  </si>
  <si>
    <t>The component was modeled like a unity-gain amplifier with a noise temperature defined by the physical</t>
  </si>
  <si>
    <t>temperature input reduced by the frequency-dependent coupling factor shown in the coupler data table.</t>
  </si>
  <si>
    <t>(Thanks to Dr. Sara Salem Hesari of NRC for spotting this important omission in the cascade.)</t>
  </si>
  <si>
    <t>Fixed a bug where adding components to a cascade table messed up Gcas, Tcas values in the Summary table.</t>
  </si>
  <si>
    <t>dBm</t>
  </si>
  <si>
    <r>
      <t>P</t>
    </r>
    <r>
      <rPr>
        <b/>
        <vertAlign val="subscript"/>
        <sz val="11"/>
        <rFont val="Arial"/>
        <family val="2"/>
      </rPr>
      <t>1dB</t>
    </r>
  </si>
  <si>
    <r>
      <t>P</t>
    </r>
    <r>
      <rPr>
        <b/>
        <vertAlign val="subscript"/>
        <sz val="11"/>
        <rFont val="Arial"/>
        <family val="2"/>
      </rPr>
      <t>1%</t>
    </r>
  </si>
  <si>
    <t>Added approximate dynamic range calculation, based on worst-case noise output and LNA linearity estimates</t>
  </si>
  <si>
    <r>
      <t>P</t>
    </r>
    <r>
      <rPr>
        <b/>
        <vertAlign val="subscript"/>
        <sz val="11"/>
        <rFont val="Arial"/>
        <family val="2"/>
      </rPr>
      <t>OUT</t>
    </r>
  </si>
  <si>
    <t>BW</t>
  </si>
  <si>
    <t>Specifically, this accounts for the new optical design (ngVLA #7), and new Band 1 feed horn from EMSS.</t>
  </si>
  <si>
    <t>Updated values for aperture efficiency, based on results of EMSS optics/feed design studies in 2020</t>
  </si>
  <si>
    <t>The new (ver. 2020) EMSS QR feed for Band 1 replaced the original Caltech QRFH from the reference design.</t>
  </si>
  <si>
    <t>Freq.
(GHz)</t>
  </si>
  <si>
    <t>Avg.</t>
  </si>
  <si>
    <r>
      <rPr>
        <b/>
        <i/>
        <sz val="11"/>
        <rFont val="Arial"/>
        <family val="2"/>
      </rPr>
      <t>η</t>
    </r>
    <r>
      <rPr>
        <b/>
        <vertAlign val="subscript"/>
        <sz val="11"/>
        <rFont val="Arial"/>
        <family val="2"/>
      </rPr>
      <t>A</t>
    </r>
    <r>
      <rPr>
        <b/>
        <sz val="11"/>
        <rFont val="Arial"/>
        <family val="2"/>
      </rPr>
      <t xml:space="preserve"> [1]</t>
    </r>
  </si>
  <si>
    <t>Tspill, K  [3]</t>
  </si>
  <si>
    <t>Tsu, K
[6]</t>
  </si>
  <si>
    <t xml:space="preserve">[4] - Spillover values assume an atmospheric PWV of 6 mm for Bands 1-5, and 1 mm for Band 6. </t>
  </si>
  <si>
    <t>[5] - Spillover temperature gets less accurate (0 or negative values, highlighted) for high Tatm (Tant), when atmospheric absorption is high.</t>
  </si>
  <si>
    <t>Antenna Efficiency, Spillover Noise, and Surface Loss Temperatures vs. Frequency, Elevation Angle, ngVLA Bands 1-6</t>
  </si>
  <si>
    <t>A totally reorganized Antenna Data worksheet was added, and Summary table now references it directly.</t>
  </si>
  <si>
    <t>Eliminated alternate EMSS Band 2 feed choice - use CSIRO design exclusively.</t>
  </si>
  <si>
    <r>
      <t>A</t>
    </r>
    <r>
      <rPr>
        <b/>
        <vertAlign val="subscript"/>
        <sz val="11"/>
        <rFont val="Arial"/>
        <family val="2"/>
      </rPr>
      <t>E</t>
    </r>
    <r>
      <rPr>
        <b/>
        <sz val="11"/>
        <rFont val="Arial"/>
        <family val="2"/>
      </rPr>
      <t>/T</t>
    </r>
    <r>
      <rPr>
        <b/>
        <vertAlign val="subscript"/>
        <sz val="11"/>
        <rFont val="Arial"/>
        <family val="2"/>
      </rPr>
      <t>SYS</t>
    </r>
  </si>
  <si>
    <t>2. Changing input values (upper right) recalculates values.</t>
  </si>
  <si>
    <t>1. Summary table is compiled from the other worksheets.</t>
  </si>
  <si>
    <t>(Re)added a 'UPDATE' button to force recalculation on the 'Summary' worksheet.</t>
  </si>
  <si>
    <t>Added a user input selection for array configuration (single 18m, full array), to see effect on Aeff/Tsys</t>
  </si>
  <si>
    <t>Single</t>
  </si>
  <si>
    <t xml:space="preserve">Array Size (1 x 18m, Full): </t>
  </si>
  <si>
    <t>3. The sensitivity (Aeff/Tsys) is a function of selected array size.</t>
  </si>
  <si>
    <t>Adjusted frequency point spacing in all cascaded bands to be logarithmic.</t>
  </si>
  <si>
    <t>Increased number of frequency points in all cascaded bands from 10 to 11.</t>
  </si>
  <si>
    <t>Total Averaged Values for each Band, 80% or Full Bandwidth</t>
  </si>
  <si>
    <t xml:space="preserve">Averaging Range (%BW): </t>
  </si>
  <si>
    <t>Worst-Case Values for each Band, 80% or Full Bandwidth</t>
  </si>
  <si>
    <t>Added option to select either 80% or Full receiver BW on calculation of averaged &amp; worst-case values on each band.</t>
  </si>
  <si>
    <r>
      <t>P</t>
    </r>
    <r>
      <rPr>
        <b/>
        <vertAlign val="subscript"/>
        <sz val="11"/>
        <rFont val="Arial"/>
        <family val="2"/>
      </rPr>
      <t>MIN</t>
    </r>
  </si>
  <si>
    <t>Extended Band 2 lower band edge down to 3.4 GHz, from the original 3.5 GHz. Band 1 frequency limits are unchanged.</t>
  </si>
  <si>
    <t>The IRD (back end analog) noise contribution of 1K to Tsys had been turned off - reenabled it.</t>
  </si>
  <si>
    <t xml:space="preserve">7.  Sky temp (Tsky) is assumed for VLA site. Tsky vs. PWV data from Butler (2016,2020), and selectable as 1, 6, or 13 mm. </t>
  </si>
  <si>
    <t xml:space="preserve"> </t>
  </si>
  <si>
    <t>1.  Either a single 18-meter antenna or the full array is selectable for sensitivity calculation (Aeff/Tsys).</t>
  </si>
  <si>
    <t>2.  Antenna configuration is an optimally-shaped offet-Gregorian, feed arm "low" ('ngVLA-7', R. Lehmensiek, Dec. 2020)</t>
  </si>
  <si>
    <t>Changed from Planck to Callen &amp; Welton formulation for deviation from Rayleigh-Jeans approximation on Tsys.</t>
  </si>
  <si>
    <r>
      <t>(Data courtesy Dr. Bryan Butler, NRAO, July 2</t>
    </r>
    <r>
      <rPr>
        <i/>
        <sz val="10"/>
        <rFont val="Arial"/>
        <family val="2"/>
      </rPr>
      <t>016 / April 2020</t>
    </r>
    <r>
      <rPr>
        <i/>
        <sz val="10"/>
        <color rgb="FFFF0000"/>
        <rFont val="Arial"/>
        <family val="2"/>
      </rPr>
      <t>. Tbg added September 2020; revised October 2021</t>
    </r>
    <r>
      <rPr>
        <i/>
        <sz val="10"/>
        <color theme="1"/>
        <rFont val="Arial"/>
        <family val="2"/>
      </rPr>
      <t>)</t>
    </r>
  </si>
  <si>
    <t>Tgal (Avgd)</t>
  </si>
  <si>
    <t>Tgal</t>
  </si>
  <si>
    <t xml:space="preserve">Renamed Tbg table as 'Tgal', for galactic emission noise *only*, since CMB was taken out. </t>
  </si>
  <si>
    <t>Performed direct calculation of Tgal values vs. frequency in the table, per ngVLA Memo #96 (B. Butler et. al.)</t>
  </si>
  <si>
    <t>Added a plot of Band 1 Tspill versus frequency and elevation angle in antenna data worksheet.</t>
  </si>
  <si>
    <t>Added a plot of Band 4 Tspill versus frequency and elevation angle in antenna data worksheet.</t>
  </si>
  <si>
    <r>
      <t xml:space="preserve">Band #:  </t>
    </r>
    <r>
      <rPr>
        <b/>
        <i/>
        <sz val="14"/>
        <rFont val="Arial"/>
        <family val="2"/>
      </rPr>
      <t>1</t>
    </r>
  </si>
  <si>
    <r>
      <t xml:space="preserve">Band #: </t>
    </r>
    <r>
      <rPr>
        <b/>
        <i/>
        <sz val="14"/>
        <rFont val="Arial"/>
        <family val="2"/>
      </rPr>
      <t xml:space="preserve"> 2</t>
    </r>
  </si>
  <si>
    <r>
      <t xml:space="preserve">Band #:  </t>
    </r>
    <r>
      <rPr>
        <b/>
        <i/>
        <sz val="14"/>
        <rFont val="Arial"/>
        <family val="2"/>
      </rPr>
      <t>3</t>
    </r>
  </si>
  <si>
    <r>
      <t xml:space="preserve">Band #:  </t>
    </r>
    <r>
      <rPr>
        <b/>
        <i/>
        <sz val="14"/>
        <rFont val="Arial"/>
        <family val="2"/>
      </rPr>
      <t>4</t>
    </r>
  </si>
  <si>
    <r>
      <t xml:space="preserve">Band #:  </t>
    </r>
    <r>
      <rPr>
        <b/>
        <i/>
        <sz val="14"/>
        <rFont val="Arial"/>
        <family val="2"/>
      </rPr>
      <t>5</t>
    </r>
  </si>
  <si>
    <r>
      <t xml:space="preserve">Band #:  </t>
    </r>
    <r>
      <rPr>
        <b/>
        <i/>
        <sz val="14"/>
        <rFont val="Arial"/>
        <family val="2"/>
      </rPr>
      <t>6</t>
    </r>
  </si>
  <si>
    <t>Extended loss table of 086 SS coax from 35 to 51 GHz, for possible inclusion/use on Band 5.</t>
  </si>
  <si>
    <t>Full</t>
  </si>
  <si>
    <t xml:space="preserve">Atm. PWV (mm), Band 1-5: </t>
  </si>
  <si>
    <t xml:space="preserve">Atm. PWV (mm), Band 6: </t>
  </si>
  <si>
    <t>Added a separate user control for atmospheric PWV on Band 6.</t>
  </si>
  <si>
    <t>Yes</t>
  </si>
  <si>
    <t xml:space="preserve"> Include IRD noise in Tsys?</t>
  </si>
  <si>
    <t>Added a user control for whether the IRD subsystem noise contribution is included in Tsys. Trx is unaffected.</t>
  </si>
  <si>
    <t>n*hf/k</t>
  </si>
  <si>
    <t>n:</t>
  </si>
  <si>
    <t>(Noise Floor Multiplier)</t>
  </si>
  <si>
    <t>Added noise floor (n*hf/k) level to Trx plot, with 'n' adjustable.</t>
  </si>
  <si>
    <r>
      <t>P</t>
    </r>
    <r>
      <rPr>
        <b/>
        <vertAlign val="subscript"/>
        <sz val="11"/>
        <rFont val="Arial"/>
        <family val="2"/>
      </rPr>
      <t>IIP3</t>
    </r>
  </si>
  <si>
    <r>
      <t>HR</t>
    </r>
    <r>
      <rPr>
        <b/>
        <vertAlign val="subscript"/>
        <sz val="11"/>
        <rFont val="Arial"/>
        <family val="2"/>
      </rPr>
      <t>1%</t>
    </r>
  </si>
  <si>
    <r>
      <t>HR</t>
    </r>
    <r>
      <rPr>
        <b/>
        <vertAlign val="subscript"/>
        <sz val="11"/>
        <rFont val="Arial"/>
        <family val="2"/>
      </rPr>
      <t>IP3</t>
    </r>
  </si>
  <si>
    <t>Noise DR and HR (1%, IIP3)</t>
  </si>
  <si>
    <t>Full-bandwidth Averaged Receiver Parameters, Cold Sky</t>
  </si>
  <si>
    <t>LNA-based CW linearity data</t>
  </si>
  <si>
    <t>Risk Level</t>
  </si>
  <si>
    <t>Low</t>
  </si>
  <si>
    <r>
      <t>P</t>
    </r>
    <r>
      <rPr>
        <b/>
        <vertAlign val="subscript"/>
        <sz val="11"/>
        <rFont val="Arial"/>
        <family val="2"/>
      </rPr>
      <t>in,max</t>
    </r>
  </si>
  <si>
    <t>DR</t>
  </si>
  <si>
    <t>Mod.</t>
  </si>
  <si>
    <t>High</t>
  </si>
  <si>
    <t>dBm [1]</t>
  </si>
  <si>
    <r>
      <rPr>
        <b/>
        <sz val="9"/>
        <rFont val="Arial"/>
        <family val="2"/>
      </rPr>
      <t>[1]</t>
    </r>
    <r>
      <rPr>
        <sz val="9"/>
        <rFont val="Arial"/>
        <family val="2"/>
      </rPr>
      <t xml:space="preserve"> Output 1 dB compression and input damage limit data are vendor estimates.</t>
    </r>
  </si>
  <si>
    <r>
      <rPr>
        <b/>
        <sz val="9"/>
        <rFont val="Arial"/>
        <family val="2"/>
      </rPr>
      <t>[2]</t>
    </r>
    <r>
      <rPr>
        <sz val="9"/>
        <rFont val="Arial"/>
        <family val="2"/>
      </rPr>
      <t xml:space="preserve"> Dynamic range (DR) is defined as the difference between the 1 dB compressed output and the output power on cold sky [RD02].</t>
    </r>
  </si>
  <si>
    <r>
      <rPr>
        <b/>
        <sz val="9"/>
        <rFont val="Arial"/>
        <family val="2"/>
      </rPr>
      <t>[3]</t>
    </r>
    <r>
      <rPr>
        <sz val="9"/>
        <rFont val="Arial"/>
        <family val="2"/>
      </rPr>
      <t xml:space="preserve"> Headroom (HR) is defined as the difference between the third-order intercept point (IP3) referred to the input, and the equivalent input system noise power [RD02].</t>
    </r>
  </si>
  <si>
    <t>Added linearity calculations (DR, HR) per ngVLA requirements definitions (full-bandwidth noise input &amp; output).</t>
  </si>
  <si>
    <t>(reqd)</t>
  </si>
  <si>
    <t>(G=30db)</t>
  </si>
  <si>
    <r>
      <t>P</t>
    </r>
    <r>
      <rPr>
        <b/>
        <vertAlign val="subscript"/>
        <sz val="11"/>
        <rFont val="Arial"/>
        <family val="2"/>
      </rPr>
      <t>OUT,N</t>
    </r>
  </si>
  <si>
    <t>[1]</t>
  </si>
  <si>
    <t>[2]</t>
  </si>
  <si>
    <r>
      <t>P</t>
    </r>
    <r>
      <rPr>
        <b/>
        <vertAlign val="subscript"/>
        <sz val="11"/>
        <rFont val="Arial"/>
        <family val="2"/>
      </rPr>
      <t>1dB,RX</t>
    </r>
  </si>
  <si>
    <r>
      <t>P</t>
    </r>
    <r>
      <rPr>
        <b/>
        <vertAlign val="subscript"/>
        <sz val="11"/>
        <rFont val="Arial"/>
        <family val="2"/>
      </rPr>
      <t>1dB,LNA</t>
    </r>
  </si>
  <si>
    <r>
      <rPr>
        <b/>
        <sz val="9"/>
        <rFont val="Arial"/>
        <family val="2"/>
      </rPr>
      <t>[1]</t>
    </r>
    <r>
      <rPr>
        <sz val="9"/>
        <rFont val="Arial"/>
        <family val="2"/>
      </rPr>
      <t xml:space="preserve"> Receiver output 1 dB compression (CW), normalized to 30 dB system gain, in dBm.</t>
    </r>
  </si>
  <si>
    <r>
      <rPr>
        <b/>
        <sz val="9"/>
        <rFont val="Arial"/>
        <family val="2"/>
      </rPr>
      <t>[2]</t>
    </r>
    <r>
      <rPr>
        <sz val="9"/>
        <rFont val="Arial"/>
        <family val="2"/>
      </rPr>
      <t xml:space="preserve"> Estimated P1dB (CW) required for the LNA. This is the receiver output P1dB adjusted upward by the max loss in the cascade between the LNA and receiver outputs.</t>
    </r>
  </si>
  <si>
    <t>Added estimates of required 1 dB compression point, for receiver bands and LNAs.</t>
  </si>
  <si>
    <r>
      <t>T</t>
    </r>
    <r>
      <rPr>
        <b/>
        <vertAlign val="subscript"/>
        <sz val="11"/>
        <rFont val="Arial"/>
        <family val="2"/>
      </rPr>
      <t>LNA</t>
    </r>
    <r>
      <rPr>
        <b/>
        <sz val="11"/>
        <rFont val="Arial"/>
        <family val="2"/>
      </rPr>
      <t xml:space="preserve">
/ Tsys</t>
    </r>
  </si>
  <si>
    <t>Added a function to compute the true average of table values in dB or dBm; used in 'Summary' worksheet tables.</t>
  </si>
  <si>
    <t>Noise Calibration Injection Coupler:  Insertion Gain, Coupling vs. Frequency, Bands 1-6</t>
  </si>
  <si>
    <t>S21 [1]</t>
  </si>
  <si>
    <t>S31 [1]</t>
  </si>
  <si>
    <t>S21 [2]</t>
  </si>
  <si>
    <t>S31 [2]</t>
  </si>
  <si>
    <t>S21 [3]</t>
  </si>
  <si>
    <t>S31 [3]</t>
  </si>
  <si>
    <t>S21 [4]</t>
  </si>
  <si>
    <t>S31 [4]</t>
  </si>
  <si>
    <t>S21 [5]</t>
  </si>
  <si>
    <t>S31 [5]</t>
  </si>
  <si>
    <t>S21 [6]</t>
  </si>
  <si>
    <t>S31 [6]</t>
  </si>
  <si>
    <t>Coupler_Band1</t>
  </si>
  <si>
    <t>Coupler_Band2</t>
  </si>
  <si>
    <t>Coupler_Band3</t>
  </si>
  <si>
    <t>Coupler_Band4</t>
  </si>
  <si>
    <t>Coupler_Band5</t>
  </si>
  <si>
    <t>Coupler_Band6</t>
  </si>
  <si>
    <t>(table is no longer used)</t>
  </si>
  <si>
    <t>Fixed an error in cable loss slope calculation for 086 SS semirigid cable.</t>
  </si>
  <si>
    <t>Separated output T-line on all bands into 2 sections (20-80K, 80-300K); modifed lengths per latest concept.</t>
  </si>
  <si>
    <t>[3] - The Tspill data from the CSIRO design report was only for 6 frequency points. In order to get more frequencies, these points were fitted to a spline curve (shown in the plot), and more frequency points taken to fill out the table shown for Band 2. Values are the average of data for the elevation and azimuth planes.</t>
  </si>
  <si>
    <t>Tspill vs. Antenna Elevation, K  [2,3,4,5]</t>
  </si>
  <si>
    <r>
      <t xml:space="preserve">[1] - Aperture efficiency estimates are from R. Lehmensiek (2020) for Bands 1, 3, 4, 5, and 6, and A. Dunning (2022) for Band 2. Efficiencies shown were computed via GRASP using the ngVLA-7 optics (Lehmensiek, 2020). Efficiency terms due to surface ohmic loss and roughness (Ruze) are </t>
    </r>
    <r>
      <rPr>
        <b/>
        <sz val="10"/>
        <rFont val="Arial"/>
        <family val="2"/>
      </rPr>
      <t xml:space="preserve">not </t>
    </r>
    <r>
      <rPr>
        <sz val="10"/>
        <rFont val="Arial"/>
        <family val="2"/>
      </rPr>
      <t>included in the above; must be factored in separately.</t>
    </r>
  </si>
  <si>
    <t>[6] - Surface loss noise temperature for the current (mtex) antenna is assumed to be negligible, given they are milled from aluminum.</t>
  </si>
  <si>
    <r>
      <t>[2] - Spillover temperatures are derived from R. Lehmensiek (2020) for Band 1 and Bands 3-6, by subtraction of Tsky from antenna temperature. A feed-low offset Gregorian antenna and the current ngVLA-7 optics was assumed.</t>
    </r>
    <r>
      <rPr>
        <sz val="10"/>
        <color rgb="FF008000"/>
        <rFont val="Arial"/>
        <family val="2"/>
      </rPr>
      <t xml:space="preserve"> For Band 2, spillover temperatures are from A. Dunning (2022), with the current ngVLA-7 optics. All bands assume the sky temperature model described in ngVLA Memo 96 (B. Butler, R. Lehmensiek).</t>
    </r>
  </si>
  <si>
    <t>[2] - Band 2 LNA data is a Low Noise Factory LNF-LNC4_16C (4-16 GHz). Noise is derated per [8], to account for 20K vs. 5K operation.</t>
  </si>
  <si>
    <t>[1] - Band 1 LNA data is for a 2-stage GaAs HEMT LNA, from F. Jiang at NRC/HIA. Noise is derated per [8] to account for 20K vs 12K operation.</t>
  </si>
  <si>
    <t>[7] - Numbers highlighted in yellow are either undetermined or estimates/extrapolations.</t>
  </si>
  <si>
    <t>Updated efficiency and spillover data for Band 2 with latest (Sept 2022) results from CSIRO.</t>
  </si>
  <si>
    <t>Expanded cal coupler data table in 'Passives' into a separate worksheet.</t>
  </si>
  <si>
    <r>
      <t xml:space="preserve">[4] - Band 4 LNA is a combination of data from Low Noise Factory LNF-LNC16_28WB (20-26 GHz) and LNF-LNC23_42WB (27-35 GHz), 
       assuming a custom WR-34 housing. </t>
    </r>
    <r>
      <rPr>
        <sz val="10"/>
        <color rgb="FF008000"/>
        <rFont val="Arial"/>
        <family val="2"/>
      </rPr>
      <t>Noise performance is derated per [8], to account for 20K vs. 5K operation.</t>
    </r>
    <r>
      <rPr>
        <sz val="10"/>
        <rFont val="Arial"/>
        <family val="2"/>
      </rPr>
      <t xml:space="preserve"> A custom MMIC 
       from LNF would be required for Band 4, but N. Wadefalk wrote (8/14/18) that there would be no added NRE or price change,
       as it's a simple design change, and the WR-34 launcher exists.</t>
    </r>
  </si>
  <si>
    <t>Added weather radome loss (equivalent to window) back in for Band 1 &amp; 2. These are now within an enclosure.</t>
  </si>
  <si>
    <r>
      <t xml:space="preserve">[5] - Band 5 LNA data is a Low Noise Factory LNF-LNC28_52WB, 28-52 GHz, in a WR-22 housing. </t>
    </r>
    <r>
      <rPr>
        <sz val="10"/>
        <color rgb="FF008000"/>
        <rFont val="Arial"/>
        <family val="2"/>
      </rPr>
      <t>Noise is derated per [8], to account 
        for 20K versus 5K operation.</t>
    </r>
  </si>
  <si>
    <t>Updated LNA gain, noise temperatures on Bands 4-5 with data in latest vendor data sheets (2022), derated for 20 K.</t>
  </si>
  <si>
    <t>(Future)    Improve modeling of 086 SS semirigid, to account for both frequency and temperature</t>
  </si>
  <si>
    <t>[6] - Band 6 LNA data is an InGaAs MMIC LNA, based on Fraunhofer 50nm mHEMT devices, at 15 K. Ref. paper by F. Thome et. al., 2022</t>
  </si>
  <si>
    <t>6</t>
  </si>
  <si>
    <t>Changed default LNA device selection and corresponding data on both Band 1 and Band 2, and derated for 20 K.</t>
  </si>
  <si>
    <t>Changed Band 6 LNA selection from U. of Manchester to Fraunhofer device, updated the gain and noise data.</t>
  </si>
  <si>
    <r>
      <t xml:space="preserve">[1] - Band 1 coupler data for Krytar model# 101004030-810, measured on a Rohde &amp; Schwarz ZNA, at </t>
    </r>
    <r>
      <rPr>
        <b/>
        <sz val="10"/>
        <color rgb="FF008000"/>
        <rFont val="Arial"/>
        <family val="2"/>
      </rPr>
      <t>ambient</t>
    </r>
    <r>
      <rPr>
        <sz val="10"/>
        <color rgb="FF008000"/>
        <rFont val="Arial"/>
        <family val="2"/>
      </rPr>
      <t xml:space="preserve"> temperature [7].</t>
    </r>
  </si>
  <si>
    <r>
      <t xml:space="preserve">[2] - Band 2 coupler data for Krytar demo unit# 120430-810, measured on a Rohde &amp; Schwarz ZNA, at </t>
    </r>
    <r>
      <rPr>
        <b/>
        <sz val="10"/>
        <color rgb="FF008000"/>
        <rFont val="Arial"/>
        <family val="2"/>
      </rPr>
      <t>ambient</t>
    </r>
    <r>
      <rPr>
        <sz val="10"/>
        <color rgb="FF008000"/>
        <rFont val="Arial"/>
        <family val="2"/>
      </rPr>
      <t xml:space="preserve"> temperature [7].</t>
    </r>
  </si>
  <si>
    <r>
      <t xml:space="preserve">[3] - Band 3 data are from HFSS simulations of an EVLA-style crossed-guide (Moreno) coupler scaled for this band, at </t>
    </r>
    <r>
      <rPr>
        <b/>
        <sz val="10"/>
        <color rgb="FF008000"/>
        <rFont val="Arial"/>
        <family val="2"/>
      </rPr>
      <t>ambient</t>
    </r>
    <r>
      <rPr>
        <sz val="10"/>
        <color rgb="FF008000"/>
        <rFont val="Arial"/>
        <family val="2"/>
      </rPr>
      <t xml:space="preserve"> temperature [8].</t>
    </r>
  </si>
  <si>
    <r>
      <t xml:space="preserve">[4] - Band 4 data are from HFSS simulations of an EVLA-style crossed-guide (Moreno) coupler scaled for this band, at </t>
    </r>
    <r>
      <rPr>
        <b/>
        <sz val="10"/>
        <color rgb="FF008000"/>
        <rFont val="Arial"/>
        <family val="2"/>
      </rPr>
      <t>ambient</t>
    </r>
    <r>
      <rPr>
        <sz val="10"/>
        <color rgb="FF008000"/>
        <rFont val="Arial"/>
        <family val="2"/>
      </rPr>
      <t xml:space="preserve"> temperature [8].</t>
    </r>
  </si>
  <si>
    <r>
      <t xml:space="preserve">[5] - Band 5 data are from HFSS simulations of an EVLA-style crossed-guide (Moreno) coupler scaled for this band, at </t>
    </r>
    <r>
      <rPr>
        <b/>
        <sz val="10"/>
        <color rgb="FF008000"/>
        <rFont val="Arial"/>
        <family val="2"/>
      </rPr>
      <t>ambient</t>
    </r>
    <r>
      <rPr>
        <sz val="10"/>
        <color rgb="FF008000"/>
        <rFont val="Arial"/>
        <family val="2"/>
      </rPr>
      <t xml:space="preserve"> temperature [8].</t>
    </r>
  </si>
  <si>
    <r>
      <t xml:space="preserve">[6] - Band 6 data are from HFSS simulations of an EVLA-style crossed-guide (Moreno) coupler scaled for this band, at </t>
    </r>
    <r>
      <rPr>
        <b/>
        <sz val="10"/>
        <color rgb="FF008000"/>
        <rFont val="Arial"/>
        <family val="2"/>
      </rPr>
      <t>ambient</t>
    </r>
    <r>
      <rPr>
        <sz val="10"/>
        <color rgb="FF008000"/>
        <rFont val="Arial"/>
        <family val="2"/>
      </rPr>
      <t xml:space="preserve"> temperature [8].</t>
    </r>
  </si>
  <si>
    <t>[8] - B. DuVerneary, NRAO, 'Crossguide Coupler Simulations and Measurements 2022-10-21.pdf'</t>
  </si>
  <si>
    <t>[7] - B. DuVerneary, NRAO, 'Rohde Schwarz ZNA50 Directional Coupler Measurements 2022-09-20.pdf'</t>
  </si>
  <si>
    <t>Updated coupler thru loss and coupling on Bands 3-6, using HFSS simulation results (B. DuVerneay, 10/21/2022).</t>
  </si>
  <si>
    <t>Updated coupler thru loss and coupling on Bands 1-2 with measured data of prototypes (B. DuVerneay, 9/20/2022).</t>
  </si>
  <si>
    <t>Add atmospheric opacity correction to Tsys for all bands, per ngVLA Memo 96.</t>
  </si>
  <si>
    <t xml:space="preserve">PREPARED BY </t>
  </si>
  <si>
    <t>ORGANIZATION</t>
  </si>
  <si>
    <t>ngVLA, NRAO</t>
  </si>
  <si>
    <t xml:space="preserve">APPROVALS </t>
  </si>
  <si>
    <t>SIGNATURES</t>
  </si>
  <si>
    <t>M. Archuleta,</t>
  </si>
  <si>
    <t>Systems Engineer</t>
  </si>
  <si>
    <t>R. Selina,</t>
  </si>
  <si>
    <t>Project Engineer</t>
  </si>
  <si>
    <t>W. Esterhuyse,</t>
  </si>
  <si>
    <t>Project Manager</t>
  </si>
  <si>
    <t>RELEASED BY</t>
  </si>
  <si>
    <t>SIGNATURE</t>
  </si>
  <si>
    <t>P. Lopez,</t>
  </si>
  <si>
    <t>Electronics IPT Lead</t>
  </si>
  <si>
    <r>
      <t xml:space="preserve">Title: </t>
    </r>
    <r>
      <rPr>
        <sz val="11"/>
        <rFont val="Gill Sans MT"/>
        <family val="2"/>
      </rPr>
      <t>Receiver Cascaded Analysis Tool (v14)</t>
    </r>
  </si>
  <si>
    <r>
      <t>Owner:</t>
    </r>
    <r>
      <rPr>
        <sz val="11"/>
        <rFont val="Gill Sans MT"/>
        <family val="2"/>
      </rPr>
      <t xml:space="preserve"> Grammer</t>
    </r>
  </si>
  <si>
    <r>
      <t>Version:</t>
    </r>
    <r>
      <rPr>
        <sz val="11"/>
        <rFont val="Gill Sans MT"/>
        <family val="2"/>
      </rPr>
      <t xml:space="preserve"> D</t>
    </r>
  </si>
  <si>
    <r>
      <t>Date:</t>
    </r>
    <r>
      <rPr>
        <sz val="11"/>
        <rFont val="Gill Sans MT"/>
        <family val="2"/>
      </rPr>
      <t xml:space="preserve"> 2022-10-24</t>
    </r>
  </si>
  <si>
    <r>
      <t>NRAO Doc. #:</t>
    </r>
    <r>
      <rPr>
        <sz val="11"/>
        <rFont val="Gill Sans MT"/>
        <family val="2"/>
      </rPr>
      <t xml:space="preserve"> 020.30.05.00.00-0004-GEN</t>
    </r>
  </si>
  <si>
    <t>Receiver Cascaded Analysis Tool (v14)</t>
  </si>
  <si>
    <t>020.30.05.00.00-0004-GEN</t>
  </si>
  <si>
    <t>Status:  Released</t>
  </si>
  <si>
    <t>W. Grammer</t>
  </si>
  <si>
    <r>
      <rPr>
        <b/>
        <sz val="11"/>
        <rFont val="Calibri"/>
        <family val="2"/>
        <scheme val="minor"/>
      </rPr>
      <t>A</t>
    </r>
    <r>
      <rPr>
        <sz val="11"/>
        <rFont val="Calibri"/>
        <family val="2"/>
        <scheme val="minor"/>
      </rPr>
      <t xml:space="preserve"> (Ver. 11)   Updated data on Band 2 *only*, for either EMSS and CSIRO wideband feeds (selectable). Band 1 is still the Caltech QRFH.</t>
    </r>
  </si>
  <si>
    <r>
      <rPr>
        <b/>
        <sz val="11"/>
        <rFont val="Calibri"/>
        <family val="2"/>
        <scheme val="minor"/>
      </rPr>
      <t>B</t>
    </r>
    <r>
      <rPr>
        <sz val="11"/>
        <rFont val="Calibri"/>
        <family val="2"/>
        <scheme val="minor"/>
      </rPr>
      <t xml:space="preserve"> (Ver. 12)   Updated receiver cascade to include effect of passive noise injection from the calibration path.</t>
    </r>
  </si>
  <si>
    <r>
      <rPr>
        <b/>
        <sz val="11"/>
        <rFont val="Calibri"/>
        <family val="2"/>
        <scheme val="minor"/>
      </rPr>
      <t>C</t>
    </r>
    <r>
      <rPr>
        <sz val="11"/>
        <rFont val="Calibri"/>
        <family val="2"/>
        <scheme val="minor"/>
      </rPr>
      <t xml:space="preserve"> (Ver. 13)   Removed CMB contribution from Tbg table in 'Data-Tatm' sheet; it was already included in Tatm table.</t>
    </r>
  </si>
  <si>
    <r>
      <rPr>
        <b/>
        <sz val="11"/>
        <color rgb="FF009900"/>
        <rFont val="Calibri"/>
        <family val="2"/>
        <scheme val="minor"/>
      </rPr>
      <t>D</t>
    </r>
    <r>
      <rPr>
        <sz val="11"/>
        <color rgb="FF009900"/>
        <rFont val="Calibri"/>
        <family val="2"/>
        <scheme val="minor"/>
      </rPr>
      <t xml:space="preserve"> (Ver. 14)   Slight reformatting of Trx and Tsys plots, for better readability at small sizes.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</si>
</sst>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m/d/yyyy\)"/>
    <numFmt numFmtId="167" formatCode="\+0.0;\-0.0;0"/>
    <numFmt numFmtId="168" formatCode="0.0E+00"/>
  </numFmts>
  <fonts count="116">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Arial"/>
      <family val="2"/>
    </font>
    <font>
      <b/>
      <sz val="11"/>
      <name val="Arial"/>
      <family val="2"/>
    </font>
    <font>
      <b/>
      <sz val="12"/>
      <color theme="0"/>
      <name val="Arial"/>
      <family val="2"/>
    </font>
    <font>
      <b/>
      <sz val="10"/>
      <color theme="0"/>
      <name val="Arial"/>
      <family val="2"/>
    </font>
    <font>
      <b/>
      <sz val="10"/>
      <name val="Arial"/>
      <family val="2"/>
    </font>
    <font>
      <b/>
      <sz val="12"/>
      <name val="Arial"/>
      <family val="2"/>
    </font>
    <font>
      <sz val="12"/>
      <name val="Arial"/>
      <family val="2"/>
    </font>
    <font>
      <sz val="9"/>
      <name val="Arial"/>
      <family val="2"/>
    </font>
    <font>
      <sz val="11"/>
      <name val="Arial"/>
      <family val="2"/>
    </font>
    <font>
      <i/>
      <sz val="12"/>
      <name val="Arial"/>
      <family val="2"/>
    </font>
    <font>
      <sz val="11"/>
      <color theme="0"/>
      <name val="Arial"/>
      <family val="2"/>
    </font>
    <font>
      <i/>
      <sz val="14"/>
      <name val="Arial"/>
      <family val="2"/>
    </font>
    <font>
      <b/>
      <sz val="14"/>
      <color theme="0"/>
      <name val="Arial"/>
      <family val="2"/>
    </font>
    <font>
      <sz val="14"/>
      <name val="Arial"/>
      <family val="2"/>
    </font>
    <font>
      <b/>
      <sz val="14"/>
      <name val="Arial"/>
      <family val="2"/>
    </font>
    <font>
      <i/>
      <sz val="12"/>
      <color rgb="FF0000FF"/>
      <name val="Arial"/>
      <family val="2"/>
    </font>
    <font>
      <sz val="11"/>
      <color rgb="FF0000FF"/>
      <name val="Arial"/>
      <family val="2"/>
    </font>
    <font>
      <i/>
      <sz val="12"/>
      <color rgb="FF008000"/>
      <name val="Arial"/>
      <family val="2"/>
    </font>
    <font>
      <sz val="11"/>
      <color rgb="FF008000"/>
      <name val="Arial"/>
      <family val="2"/>
    </font>
    <font>
      <i/>
      <sz val="13"/>
      <name val="Arial"/>
      <family val="2"/>
    </font>
    <font>
      <b/>
      <sz val="13"/>
      <name val="Arial"/>
      <family val="2"/>
    </font>
    <font>
      <b/>
      <sz val="12"/>
      <color rgb="FF0000FF"/>
      <name val="Arial"/>
      <family val="2"/>
    </font>
    <font>
      <b/>
      <sz val="12"/>
      <color rgb="FF008000"/>
      <name val="Arial"/>
      <family val="2"/>
    </font>
    <font>
      <b/>
      <sz val="11"/>
      <color rgb="FF008000"/>
      <name val="Arial"/>
      <family val="2"/>
    </font>
    <font>
      <b/>
      <sz val="11"/>
      <color rgb="FF0000FF"/>
      <name val="Arial"/>
      <family val="2"/>
    </font>
    <font>
      <b/>
      <i/>
      <sz val="12"/>
      <name val="Arial"/>
      <family val="2"/>
    </font>
    <font>
      <b/>
      <sz val="10"/>
      <color rgb="FF0000FF"/>
      <name val="MS Sans Serif"/>
    </font>
    <font>
      <sz val="12"/>
      <color theme="1"/>
      <name val="Calibri"/>
      <family val="2"/>
      <scheme val="minor"/>
    </font>
    <font>
      <i/>
      <u/>
      <sz val="11"/>
      <name val="Arial"/>
      <family val="2"/>
    </font>
    <font>
      <i/>
      <sz val="11"/>
      <name val="Arial"/>
      <family val="2"/>
    </font>
    <font>
      <sz val="11"/>
      <color rgb="FF7030A0"/>
      <name val="Arial"/>
      <family val="2"/>
    </font>
    <font>
      <sz val="11"/>
      <color rgb="FFFF0000"/>
      <name val="Arial"/>
      <family val="2"/>
    </font>
    <font>
      <b/>
      <sz val="11"/>
      <color rgb="FFC00000"/>
      <name val="Arial"/>
      <family val="2"/>
    </font>
    <font>
      <sz val="11"/>
      <color rgb="FFC00000"/>
      <name val="Arial"/>
      <family val="2"/>
    </font>
    <font>
      <b/>
      <sz val="11"/>
      <color rgb="FF7030A0"/>
      <name val="Arial"/>
      <family val="2"/>
    </font>
    <font>
      <b/>
      <i/>
      <sz val="12"/>
      <color rgb="FFFF0000"/>
      <name val="Arial"/>
      <family val="2"/>
    </font>
    <font>
      <b/>
      <i/>
      <sz val="12"/>
      <color rgb="FFFF0000"/>
      <name val="Calibri"/>
      <family val="2"/>
    </font>
    <font>
      <b/>
      <i/>
      <vertAlign val="subscript"/>
      <sz val="12"/>
      <color rgb="FFFF0000"/>
      <name val="Arial"/>
      <family val="2"/>
    </font>
    <font>
      <b/>
      <sz val="11"/>
      <color theme="0"/>
      <name val="Arial"/>
      <family val="2"/>
    </font>
    <font>
      <b/>
      <sz val="9"/>
      <name val="Arial"/>
      <family val="2"/>
    </font>
    <font>
      <b/>
      <sz val="9"/>
      <color rgb="FF0000FF"/>
      <name val="Arial"/>
      <family val="2"/>
    </font>
    <font>
      <sz val="10"/>
      <color rgb="FFFFCC00"/>
      <name val="Arial"/>
      <family val="2"/>
    </font>
    <font>
      <b/>
      <vertAlign val="subscript"/>
      <sz val="11"/>
      <color rgb="FF0000FF"/>
      <name val="Arial"/>
      <family val="2"/>
    </font>
    <font>
      <b/>
      <sz val="11"/>
      <color theme="1"/>
      <name val="Calibri"/>
      <family val="2"/>
      <scheme val="minor"/>
    </font>
    <font>
      <sz val="11"/>
      <color theme="0"/>
      <name val="Calibri"/>
      <family val="2"/>
      <scheme val="minor"/>
    </font>
    <font>
      <sz val="11"/>
      <name val="Calibri"/>
      <family val="2"/>
      <scheme val="minor"/>
    </font>
    <font>
      <sz val="11"/>
      <name val="Calibri"/>
      <family val="2"/>
    </font>
    <font>
      <b/>
      <i/>
      <sz val="12"/>
      <name val="Calibri"/>
      <family val="2"/>
    </font>
    <font>
      <b/>
      <i/>
      <vertAlign val="subscript"/>
      <sz val="12"/>
      <name val="Arial"/>
      <family val="2"/>
    </font>
    <font>
      <b/>
      <vertAlign val="subscript"/>
      <sz val="11"/>
      <name val="Arial"/>
      <family val="2"/>
    </font>
    <font>
      <b/>
      <sz val="11"/>
      <color theme="9" tint="-0.249977111117893"/>
      <name val="Arial"/>
      <family val="2"/>
    </font>
    <font>
      <sz val="11"/>
      <color theme="9" tint="-0.249977111117893"/>
      <name val="Arial"/>
      <family val="2"/>
    </font>
    <font>
      <sz val="10"/>
      <color rgb="FF006600"/>
      <name val="MS Sans Serif"/>
      <family val="2"/>
    </font>
    <font>
      <b/>
      <sz val="11"/>
      <color rgb="FF00B050"/>
      <name val="Arial"/>
      <family val="2"/>
    </font>
    <font>
      <b/>
      <vertAlign val="subscript"/>
      <sz val="11"/>
      <color rgb="FF00B050"/>
      <name val="Arial"/>
      <family val="2"/>
    </font>
    <font>
      <sz val="9"/>
      <color rgb="FF00B050"/>
      <name val="Arial"/>
      <family val="2"/>
    </font>
    <font>
      <sz val="9"/>
      <name val="Calibri"/>
      <family val="2"/>
    </font>
    <font>
      <sz val="10"/>
      <color rgb="FF0000FF"/>
      <name val="Arial"/>
      <family val="2"/>
    </font>
    <font>
      <vertAlign val="superscript"/>
      <sz val="10"/>
      <color rgb="FF0000FF"/>
      <name val="Arial"/>
      <family val="2"/>
    </font>
    <font>
      <b/>
      <sz val="13"/>
      <color rgb="FFFF0000"/>
      <name val="Arial"/>
      <family val="2"/>
    </font>
    <font>
      <b/>
      <sz val="11"/>
      <color rgb="FFFF0000"/>
      <name val="Arial"/>
      <family val="2"/>
    </font>
    <font>
      <b/>
      <sz val="10"/>
      <color rgb="FFFF0000"/>
      <name val="Arial"/>
      <family val="2"/>
    </font>
    <font>
      <sz val="10"/>
      <color theme="0"/>
      <name val="Arial"/>
      <family val="2"/>
    </font>
    <font>
      <sz val="10"/>
      <color theme="1"/>
      <name val="Arial"/>
      <family val="2"/>
    </font>
    <font>
      <i/>
      <sz val="10"/>
      <color theme="1"/>
      <name val="Arial"/>
      <family val="2"/>
    </font>
    <font>
      <i/>
      <sz val="10"/>
      <color rgb="FFFF0000"/>
      <name val="Arial"/>
      <family val="2"/>
    </font>
    <font>
      <b/>
      <i/>
      <sz val="10"/>
      <color theme="1"/>
      <name val="Arial"/>
      <family val="2"/>
    </font>
    <font>
      <sz val="10"/>
      <color rgb="FFC00000"/>
      <name val="Arial"/>
      <family val="2"/>
    </font>
    <font>
      <i/>
      <sz val="10"/>
      <name val="Arial"/>
      <family val="2"/>
    </font>
    <font>
      <b/>
      <sz val="13"/>
      <color theme="0"/>
      <name val="Arial"/>
      <family val="2"/>
    </font>
    <font>
      <b/>
      <sz val="12.5"/>
      <color rgb="FF006600"/>
      <name val="Arial"/>
      <family val="2"/>
    </font>
    <font>
      <b/>
      <sz val="12.5"/>
      <color theme="0"/>
      <name val="Arial"/>
      <family val="2"/>
    </font>
    <font>
      <b/>
      <sz val="12.5"/>
      <color rgb="FF0000FF"/>
      <name val="Arial"/>
      <family val="2"/>
    </font>
    <font>
      <b/>
      <sz val="12.5"/>
      <color rgb="FFFF0000"/>
      <name val="Arial"/>
      <family val="2"/>
    </font>
    <font>
      <b/>
      <sz val="11"/>
      <color rgb="FF00B0F0"/>
      <name val="Arial"/>
      <family val="2"/>
    </font>
    <font>
      <b/>
      <sz val="12.5"/>
      <color theme="0"/>
      <name val="Ariel"/>
    </font>
    <font>
      <b/>
      <sz val="11"/>
      <name val="Calibri"/>
      <family val="2"/>
      <scheme val="minor"/>
    </font>
    <font>
      <sz val="11"/>
      <color rgb="FF009900"/>
      <name val="Calibri"/>
      <family val="2"/>
      <scheme val="minor"/>
    </font>
    <font>
      <sz val="11"/>
      <color rgb="FF006600"/>
      <name val="Calibri"/>
      <family val="2"/>
      <scheme val="minor"/>
    </font>
    <font>
      <sz val="11"/>
      <color rgb="FFFF0000"/>
      <name val="Calibri"/>
      <family val="2"/>
      <scheme val="minor"/>
    </font>
    <font>
      <b/>
      <sz val="12"/>
      <color rgb="FF000000"/>
      <name val="Arial"/>
      <family val="2"/>
    </font>
    <font>
      <b/>
      <sz val="10"/>
      <color theme="1"/>
      <name val="Arial"/>
      <family val="2"/>
    </font>
    <font>
      <b/>
      <u/>
      <sz val="12"/>
      <color theme="1"/>
      <name val="Calibri"/>
      <family val="2"/>
      <scheme val="minor"/>
    </font>
    <font>
      <b/>
      <i/>
      <sz val="11"/>
      <name val="Arial"/>
      <family val="2"/>
    </font>
    <font>
      <b/>
      <i/>
      <sz val="10"/>
      <name val="Arial"/>
      <family val="2"/>
    </font>
    <font>
      <b/>
      <sz val="10"/>
      <color rgb="FF009900"/>
      <name val="Arial"/>
      <family val="2"/>
    </font>
    <font>
      <sz val="10"/>
      <color rgb="FF009900"/>
      <name val="Arial"/>
      <family val="2"/>
    </font>
    <font>
      <b/>
      <sz val="14"/>
      <color rgb="FFC00000"/>
      <name val="Arial"/>
      <family val="2"/>
    </font>
    <font>
      <b/>
      <sz val="14"/>
      <color rgb="FFFF9900"/>
      <name val="Arial"/>
      <family val="2"/>
    </font>
    <font>
      <b/>
      <i/>
      <sz val="14"/>
      <name val="Arial"/>
      <family val="2"/>
    </font>
    <font>
      <b/>
      <sz val="14"/>
      <color rgb="FFFFFF00"/>
      <name val="Arial"/>
      <family val="2"/>
    </font>
    <font>
      <b/>
      <sz val="14"/>
      <color rgb="FF009900"/>
      <name val="Arial"/>
      <family val="2"/>
    </font>
    <font>
      <b/>
      <sz val="14"/>
      <color rgb="FF0000FF"/>
      <name val="Arial"/>
      <family val="2"/>
    </font>
    <font>
      <b/>
      <sz val="14"/>
      <color rgb="FF7030A0"/>
      <name val="Arial"/>
      <family val="2"/>
    </font>
    <font>
      <b/>
      <sz val="12.5"/>
      <color rgb="FF7030A0"/>
      <name val="Arial"/>
      <family val="2"/>
    </font>
    <font>
      <sz val="10"/>
      <color theme="0" tint="-0.499984740745262"/>
      <name val="Arial"/>
      <family val="2"/>
    </font>
    <font>
      <b/>
      <sz val="10"/>
      <color theme="0" tint="-0.499984740745262"/>
      <name val="Arial"/>
      <family val="2"/>
    </font>
    <font>
      <sz val="9"/>
      <color theme="0" tint="-0.499984740745262"/>
      <name val="Arial"/>
      <family val="2"/>
    </font>
    <font>
      <b/>
      <sz val="10"/>
      <color theme="0"/>
      <name val="MS Sans Serif"/>
    </font>
    <font>
      <sz val="10"/>
      <color rgb="FF008000"/>
      <name val="Arial"/>
      <family val="2"/>
    </font>
    <font>
      <b/>
      <sz val="10"/>
      <color rgb="FF008000"/>
      <name val="Arial"/>
      <family val="2"/>
    </font>
    <font>
      <sz val="11"/>
      <color rgb="FF009900"/>
      <name val="Arial"/>
      <family val="2"/>
    </font>
    <font>
      <sz val="11"/>
      <color theme="1"/>
      <name val="Arial"/>
      <family val="2"/>
    </font>
    <font>
      <sz val="10"/>
      <color rgb="FF008000"/>
      <name val="MS Sans Serif"/>
      <family val="2"/>
    </font>
    <font>
      <sz val="11"/>
      <name val="Gill Sans MT"/>
      <family val="2"/>
    </font>
    <font>
      <b/>
      <sz val="11"/>
      <name val="Gill Sans MT"/>
      <family val="2"/>
    </font>
    <font>
      <b/>
      <i/>
      <sz val="10"/>
      <name val="Gill Sans MT"/>
      <family val="2"/>
    </font>
    <font>
      <b/>
      <sz val="18"/>
      <name val="Gill Sans MT"/>
      <family val="2"/>
    </font>
    <font>
      <sz val="12"/>
      <name val="Gill Sans MT"/>
      <family val="2"/>
    </font>
    <font>
      <b/>
      <sz val="14"/>
      <name val="Gill Sans MT"/>
      <family val="2"/>
    </font>
    <font>
      <b/>
      <sz val="11"/>
      <color rgb="FF009900"/>
      <name val="Calibri"/>
      <family val="2"/>
      <scheme val="minor"/>
    </font>
  </fonts>
  <fills count="24">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00FFFF"/>
        <bgColor indexed="64"/>
      </patternFill>
    </fill>
    <fill>
      <patternFill patternType="solid">
        <fgColor rgb="FF0000FF"/>
        <bgColor indexed="64"/>
      </patternFill>
    </fill>
    <fill>
      <patternFill patternType="solid">
        <fgColor rgb="FFFF0000"/>
        <bgColor indexed="64"/>
      </patternFill>
    </fill>
    <fill>
      <patternFill patternType="solid">
        <fgColor rgb="FFC00000"/>
        <bgColor indexed="64"/>
      </patternFill>
    </fill>
    <fill>
      <patternFill patternType="solid">
        <fgColor rgb="FF7030A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rgb="FF00B0F0"/>
        <bgColor indexed="64"/>
      </patternFill>
    </fill>
    <fill>
      <patternFill patternType="solid">
        <fgColor theme="1"/>
        <bgColor indexed="64"/>
      </patternFill>
    </fill>
    <fill>
      <patternFill patternType="solid">
        <fgColor rgb="FFFFCC00"/>
        <bgColor indexed="64"/>
      </patternFill>
    </fill>
    <fill>
      <patternFill patternType="solid">
        <fgColor theme="9" tint="-0.499984740745262"/>
        <bgColor indexed="64"/>
      </patternFill>
    </fill>
    <fill>
      <patternFill patternType="solid">
        <fgColor rgb="FF009900"/>
        <bgColor indexed="64"/>
      </patternFill>
    </fill>
    <fill>
      <patternFill patternType="solid">
        <fgColor rgb="FFFF9900"/>
        <bgColor indexed="64"/>
      </patternFill>
    </fill>
    <fill>
      <patternFill patternType="solid">
        <fgColor rgb="FFFFC000"/>
        <bgColor indexed="64"/>
      </patternFill>
    </fill>
    <fill>
      <patternFill patternType="solid">
        <fgColor rgb="FF006600"/>
        <bgColor indexed="64"/>
      </patternFill>
    </fill>
    <fill>
      <patternFill patternType="solid">
        <fgColor rgb="FFFFFFCC"/>
        <bgColor indexed="64"/>
      </patternFill>
    </fill>
    <fill>
      <patternFill patternType="solid">
        <fgColor theme="9" tint="0.79998168889431442"/>
        <bgColor indexed="64"/>
      </patternFill>
    </fill>
    <fill>
      <patternFill patternType="solid">
        <fgColor rgb="FF00B050"/>
        <bgColor indexed="64"/>
      </patternFill>
    </fill>
    <fill>
      <patternFill patternType="solid">
        <fgColor theme="0"/>
        <bgColor indexed="64"/>
      </patternFill>
    </fill>
    <fill>
      <patternFill patternType="solid">
        <fgColor rgb="FFCCFF99"/>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double">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diagonal/>
    </border>
  </borders>
  <cellStyleXfs count="5">
    <xf numFmtId="0" fontId="0" fillId="0" borderId="0"/>
    <xf numFmtId="0" fontId="4" fillId="0" borderId="0"/>
    <xf numFmtId="0" fontId="32" fillId="0" borderId="0"/>
    <xf numFmtId="0" fontId="3" fillId="0" borderId="0"/>
    <xf numFmtId="0" fontId="2" fillId="0" borderId="0"/>
  </cellStyleXfs>
  <cellXfs count="702">
    <xf numFmtId="0" fontId="0" fillId="0" borderId="0" xfId="0"/>
    <xf numFmtId="0" fontId="0" fillId="0" borderId="0" xfId="0" applyAlignment="1">
      <alignment horizontal="center"/>
    </xf>
    <xf numFmtId="0" fontId="4" fillId="0" borderId="0" xfId="1" applyAlignment="1">
      <alignment horizontal="center"/>
    </xf>
    <xf numFmtId="0" fontId="4" fillId="0" borderId="0" xfId="1" applyFill="1" applyBorder="1"/>
    <xf numFmtId="0" fontId="4" fillId="0" borderId="0" xfId="1"/>
    <xf numFmtId="0" fontId="4" fillId="0" borderId="0" xfId="1" applyProtection="1">
      <protection locked="0"/>
    </xf>
    <xf numFmtId="164" fontId="5" fillId="0" borderId="1" xfId="1" applyNumberFormat="1" applyFont="1" applyFill="1" applyBorder="1" applyAlignment="1" applyProtection="1">
      <alignment horizontal="center"/>
      <protection locked="0"/>
    </xf>
    <xf numFmtId="0" fontId="4" fillId="0" borderId="0" xfId="1" applyBorder="1" applyAlignment="1">
      <alignment horizontal="center"/>
    </xf>
    <xf numFmtId="0" fontId="4" fillId="0" borderId="0" xfId="1" applyBorder="1"/>
    <xf numFmtId="0" fontId="11" fillId="0" borderId="0" xfId="0" applyFont="1" applyAlignment="1">
      <alignment horizontal="center"/>
    </xf>
    <xf numFmtId="0" fontId="11" fillId="0" borderId="0" xfId="0" applyFont="1"/>
    <xf numFmtId="0" fontId="10" fillId="0" borderId="0" xfId="0" applyFont="1" applyAlignment="1">
      <alignment horizontal="center"/>
    </xf>
    <xf numFmtId="0" fontId="12" fillId="2" borderId="8" xfId="1" applyFont="1" applyFill="1" applyBorder="1" applyAlignment="1">
      <alignment horizontal="center"/>
    </xf>
    <xf numFmtId="0" fontId="12" fillId="2" borderId="7" xfId="1" applyFont="1" applyFill="1" applyBorder="1" applyAlignment="1">
      <alignment horizontal="center"/>
    </xf>
    <xf numFmtId="2" fontId="5" fillId="0" borderId="0" xfId="1" applyNumberFormat="1" applyFont="1" applyFill="1" applyBorder="1" applyAlignment="1" applyProtection="1">
      <alignment horizontal="center"/>
      <protection locked="0"/>
    </xf>
    <xf numFmtId="164" fontId="5" fillId="0" borderId="3" xfId="1" applyNumberFormat="1" applyFont="1" applyFill="1" applyBorder="1" applyAlignment="1" applyProtection="1">
      <alignment horizontal="center"/>
      <protection locked="0"/>
    </xf>
    <xf numFmtId="2" fontId="4" fillId="0" borderId="0" xfId="1" applyNumberFormat="1"/>
    <xf numFmtId="0" fontId="10" fillId="0" borderId="0" xfId="0" applyFont="1"/>
    <xf numFmtId="1" fontId="9" fillId="0" borderId="0" xfId="1" applyNumberFormat="1" applyFont="1" applyFill="1" applyBorder="1" applyAlignment="1" applyProtection="1">
      <alignment horizontal="center"/>
      <protection locked="0"/>
    </xf>
    <xf numFmtId="2" fontId="13" fillId="0" borderId="3" xfId="0" applyNumberFormat="1" applyFont="1" applyBorder="1" applyAlignment="1">
      <alignment horizontal="center"/>
    </xf>
    <xf numFmtId="0" fontId="12" fillId="2" borderId="13" xfId="1" applyFont="1" applyFill="1" applyBorder="1" applyAlignment="1">
      <alignment horizontal="center"/>
    </xf>
    <xf numFmtId="0" fontId="12" fillId="2" borderId="15" xfId="1" applyFont="1" applyFill="1" applyBorder="1" applyAlignment="1">
      <alignment horizontal="center"/>
    </xf>
    <xf numFmtId="1" fontId="9" fillId="0" borderId="17" xfId="1" applyNumberFormat="1" applyFont="1" applyFill="1" applyBorder="1" applyAlignment="1" applyProtection="1">
      <alignment horizontal="center"/>
      <protection locked="0"/>
    </xf>
    <xf numFmtId="1" fontId="9" fillId="0" borderId="19" xfId="1" applyNumberFormat="1" applyFont="1" applyFill="1" applyBorder="1" applyAlignment="1" applyProtection="1">
      <alignment horizontal="center"/>
      <protection locked="0"/>
    </xf>
    <xf numFmtId="1" fontId="9" fillId="0" borderId="20" xfId="1" applyNumberFormat="1" applyFont="1" applyFill="1" applyBorder="1" applyAlignment="1" applyProtection="1">
      <alignment horizontal="center"/>
      <protection locked="0"/>
    </xf>
    <xf numFmtId="0" fontId="13" fillId="0" borderId="0" xfId="1" applyFont="1" applyAlignment="1">
      <alignment horizontal="center"/>
    </xf>
    <xf numFmtId="0" fontId="13" fillId="0" borderId="0" xfId="1" applyFont="1"/>
    <xf numFmtId="0" fontId="11" fillId="0" borderId="0" xfId="0" applyFont="1" applyBorder="1"/>
    <xf numFmtId="0" fontId="9" fillId="0" borderId="0" xfId="1" applyFont="1" applyAlignment="1">
      <alignment horizontal="center"/>
    </xf>
    <xf numFmtId="0" fontId="5" fillId="0" borderId="0" xfId="1" applyFont="1" applyAlignment="1">
      <alignment horizontal="left" indent="2"/>
    </xf>
    <xf numFmtId="0" fontId="5" fillId="0" borderId="0" xfId="1" applyFont="1" applyAlignment="1">
      <alignment horizontal="left" indent="5"/>
    </xf>
    <xf numFmtId="2" fontId="5" fillId="0" borderId="18" xfId="1" applyNumberFormat="1" applyFont="1" applyFill="1" applyBorder="1" applyAlignment="1" applyProtection="1">
      <alignment horizontal="center"/>
      <protection locked="0"/>
    </xf>
    <xf numFmtId="0" fontId="7" fillId="11" borderId="0" xfId="1" applyFont="1" applyFill="1" applyAlignment="1">
      <alignment horizontal="left"/>
    </xf>
    <xf numFmtId="0" fontId="15" fillId="11" borderId="0" xfId="1" applyFont="1" applyFill="1"/>
    <xf numFmtId="0" fontId="4" fillId="0" borderId="0" xfId="1" applyFont="1" applyFill="1" applyBorder="1"/>
    <xf numFmtId="0" fontId="4" fillId="0" borderId="0" xfId="1" applyFont="1" applyFill="1" applyBorder="1" applyAlignment="1">
      <alignment horizontal="center"/>
    </xf>
    <xf numFmtId="0" fontId="15" fillId="14" borderId="0" xfId="1" applyFont="1" applyFill="1"/>
    <xf numFmtId="0" fontId="15" fillId="14" borderId="0" xfId="1" applyFont="1" applyFill="1" applyAlignment="1">
      <alignment horizontal="center"/>
    </xf>
    <xf numFmtId="0" fontId="15" fillId="0" borderId="0" xfId="1" applyFont="1" applyFill="1" applyAlignment="1">
      <alignment horizontal="center"/>
    </xf>
    <xf numFmtId="0" fontId="15" fillId="0" borderId="0" xfId="1" applyFont="1" applyFill="1"/>
    <xf numFmtId="0" fontId="7" fillId="14" borderId="0" xfId="1" applyFont="1" applyFill="1" applyAlignment="1">
      <alignment horizontal="left"/>
    </xf>
    <xf numFmtId="0" fontId="10" fillId="13" borderId="0" xfId="1" applyFont="1" applyFill="1" applyAlignment="1">
      <alignment horizontal="left"/>
    </xf>
    <xf numFmtId="0" fontId="13" fillId="13" borderId="0" xfId="1" applyFont="1" applyFill="1"/>
    <xf numFmtId="0" fontId="18" fillId="0" borderId="0" xfId="0" applyFont="1"/>
    <xf numFmtId="0" fontId="19" fillId="0" borderId="0" xfId="0" applyFont="1" applyAlignment="1">
      <alignment horizontal="center"/>
    </xf>
    <xf numFmtId="0" fontId="14" fillId="0" borderId="7" xfId="0" applyFont="1" applyBorder="1" applyAlignment="1">
      <alignment horizontal="center"/>
    </xf>
    <xf numFmtId="0" fontId="18" fillId="0" borderId="0" xfId="1" applyFont="1"/>
    <xf numFmtId="0" fontId="12" fillId="2" borderId="14" xfId="1" applyFont="1" applyFill="1" applyBorder="1" applyAlignment="1">
      <alignment horizontal="center"/>
    </xf>
    <xf numFmtId="0" fontId="12" fillId="2" borderId="16" xfId="1" applyFont="1" applyFill="1" applyBorder="1" applyAlignment="1">
      <alignment horizontal="center"/>
    </xf>
    <xf numFmtId="2" fontId="4" fillId="0" borderId="0" xfId="1" applyNumberFormat="1" applyProtection="1">
      <protection locked="0"/>
    </xf>
    <xf numFmtId="0" fontId="6" fillId="0" borderId="0" xfId="0" applyFont="1"/>
    <xf numFmtId="0" fontId="10" fillId="0" borderId="0" xfId="1" applyFont="1" applyFill="1" applyAlignment="1">
      <alignment horizontal="left"/>
    </xf>
    <xf numFmtId="0" fontId="13" fillId="0" borderId="1" xfId="0" applyFont="1" applyBorder="1" applyAlignment="1">
      <alignment horizontal="left" indent="3"/>
    </xf>
    <xf numFmtId="2" fontId="9" fillId="0" borderId="17" xfId="1" applyNumberFormat="1" applyFont="1" applyFill="1" applyBorder="1" applyAlignment="1" applyProtection="1">
      <alignment horizontal="center"/>
      <protection locked="0"/>
    </xf>
    <xf numFmtId="2" fontId="9" fillId="0" borderId="32" xfId="1" applyNumberFormat="1" applyFont="1" applyFill="1" applyBorder="1" applyAlignment="1" applyProtection="1">
      <alignment horizontal="center"/>
      <protection locked="0"/>
    </xf>
    <xf numFmtId="0" fontId="14" fillId="0" borderId="2" xfId="0" applyFont="1" applyBorder="1" applyAlignment="1">
      <alignment horizontal="center"/>
    </xf>
    <xf numFmtId="0" fontId="14" fillId="0" borderId="15" xfId="0" applyFont="1" applyBorder="1" applyAlignment="1">
      <alignment horizontal="center"/>
    </xf>
    <xf numFmtId="2" fontId="13" fillId="0" borderId="20" xfId="0" applyNumberFormat="1" applyFont="1" applyBorder="1" applyAlignment="1">
      <alignment horizontal="center"/>
    </xf>
    <xf numFmtId="2" fontId="13" fillId="0" borderId="21" xfId="0" applyNumberFormat="1" applyFont="1" applyBorder="1" applyAlignment="1">
      <alignment horizontal="center"/>
    </xf>
    <xf numFmtId="0" fontId="16" fillId="0" borderId="41" xfId="0" applyFont="1" applyBorder="1" applyAlignment="1">
      <alignment horizontal="right" indent="1"/>
    </xf>
    <xf numFmtId="0" fontId="14" fillId="0" borderId="42" xfId="0" applyFont="1" applyBorder="1" applyAlignment="1">
      <alignment horizontal="right" indent="1"/>
    </xf>
    <xf numFmtId="0" fontId="13" fillId="0" borderId="29" xfId="0" applyFont="1" applyBorder="1" applyAlignment="1">
      <alignment horizontal="right" indent="1"/>
    </xf>
    <xf numFmtId="0" fontId="13" fillId="0" borderId="30" xfId="0" applyFont="1" applyBorder="1" applyAlignment="1">
      <alignment horizontal="right" indent="1"/>
    </xf>
    <xf numFmtId="0" fontId="6" fillId="0" borderId="29" xfId="0" applyFont="1" applyBorder="1" applyAlignment="1">
      <alignment horizontal="right" indent="1"/>
    </xf>
    <xf numFmtId="0" fontId="20" fillId="0" borderId="39" xfId="0" applyFont="1" applyBorder="1" applyAlignment="1">
      <alignment horizontal="center"/>
    </xf>
    <xf numFmtId="2" fontId="21" fillId="0" borderId="18" xfId="0" applyNumberFormat="1" applyFont="1" applyBorder="1" applyAlignment="1">
      <alignment horizontal="center"/>
    </xf>
    <xf numFmtId="2" fontId="21" fillId="0" borderId="22" xfId="0" applyNumberFormat="1" applyFont="1" applyBorder="1" applyAlignment="1">
      <alignment horizontal="center"/>
    </xf>
    <xf numFmtId="0" fontId="22" fillId="0" borderId="7" xfId="0" applyFont="1" applyBorder="1" applyAlignment="1">
      <alignment horizontal="center"/>
    </xf>
    <xf numFmtId="2" fontId="23" fillId="0" borderId="3" xfId="0" applyNumberFormat="1" applyFont="1" applyBorder="1" applyAlignment="1">
      <alignment horizontal="center"/>
    </xf>
    <xf numFmtId="2" fontId="23" fillId="0" borderId="21" xfId="0" applyNumberFormat="1" applyFont="1" applyBorder="1" applyAlignment="1">
      <alignment horizontal="center"/>
    </xf>
    <xf numFmtId="0" fontId="24" fillId="0" borderId="42" xfId="0" applyFont="1" applyBorder="1" applyAlignment="1">
      <alignment horizontal="right" indent="1"/>
    </xf>
    <xf numFmtId="2" fontId="13" fillId="0" borderId="35" xfId="0" applyNumberFormat="1" applyFont="1" applyFill="1" applyBorder="1" applyAlignment="1">
      <alignment horizontal="center"/>
    </xf>
    <xf numFmtId="2" fontId="13" fillId="0" borderId="17" xfId="0" applyNumberFormat="1" applyFont="1" applyFill="1" applyBorder="1" applyAlignment="1">
      <alignment horizontal="center"/>
    </xf>
    <xf numFmtId="0" fontId="13" fillId="0" borderId="29" xfId="0" applyFont="1" applyFill="1" applyBorder="1" applyAlignment="1">
      <alignment horizontal="right" indent="1"/>
    </xf>
    <xf numFmtId="2" fontId="23" fillId="0" borderId="3" xfId="0" applyNumberFormat="1" applyFont="1" applyFill="1" applyBorder="1" applyAlignment="1">
      <alignment horizontal="center"/>
    </xf>
    <xf numFmtId="2" fontId="21" fillId="0" borderId="18" xfId="0" applyNumberFormat="1" applyFont="1" applyFill="1" applyBorder="1" applyAlignment="1">
      <alignment horizontal="center"/>
    </xf>
    <xf numFmtId="0" fontId="11" fillId="0" borderId="0" xfId="0" applyFont="1" applyFill="1"/>
    <xf numFmtId="0" fontId="13" fillId="10" borderId="29" xfId="0" applyFont="1" applyFill="1" applyBorder="1" applyAlignment="1">
      <alignment horizontal="right" indent="1"/>
    </xf>
    <xf numFmtId="2" fontId="13" fillId="10" borderId="35" xfId="0" applyNumberFormat="1" applyFont="1" applyFill="1" applyBorder="1" applyAlignment="1">
      <alignment horizontal="center"/>
    </xf>
    <xf numFmtId="2" fontId="13" fillId="10" borderId="3" xfId="0" applyNumberFormat="1" applyFont="1" applyFill="1" applyBorder="1" applyAlignment="1">
      <alignment horizontal="center"/>
    </xf>
    <xf numFmtId="2" fontId="23" fillId="10" borderId="3" xfId="0" applyNumberFormat="1" applyFont="1" applyFill="1" applyBorder="1" applyAlignment="1">
      <alignment horizontal="center"/>
    </xf>
    <xf numFmtId="2" fontId="21" fillId="10" borderId="18" xfId="0" applyNumberFormat="1" applyFont="1" applyFill="1" applyBorder="1" applyAlignment="1">
      <alignment horizontal="center"/>
    </xf>
    <xf numFmtId="2" fontId="13" fillId="10" borderId="17" xfId="0" applyNumberFormat="1" applyFont="1" applyFill="1" applyBorder="1" applyAlignment="1">
      <alignment horizontal="center"/>
    </xf>
    <xf numFmtId="2" fontId="23" fillId="0" borderId="21" xfId="0" applyNumberFormat="1" applyFont="1" applyFill="1" applyBorder="1" applyAlignment="1">
      <alignment horizontal="center"/>
    </xf>
    <xf numFmtId="2" fontId="21" fillId="0" borderId="22" xfId="0" applyNumberFormat="1" applyFont="1" applyFill="1" applyBorder="1" applyAlignment="1">
      <alignment horizontal="center"/>
    </xf>
    <xf numFmtId="164" fontId="7" fillId="0" borderId="44" xfId="0" applyNumberFormat="1" applyFont="1" applyFill="1" applyBorder="1" applyAlignment="1">
      <alignment horizontal="center"/>
    </xf>
    <xf numFmtId="164" fontId="10" fillId="0" borderId="44" xfId="0" applyNumberFormat="1" applyFont="1" applyFill="1" applyBorder="1" applyAlignment="1">
      <alignment horizontal="center"/>
    </xf>
    <xf numFmtId="164" fontId="26" fillId="0" borderId="47" xfId="0" applyNumberFormat="1" applyFont="1" applyFill="1" applyBorder="1" applyAlignment="1">
      <alignment horizontal="center"/>
    </xf>
    <xf numFmtId="164" fontId="27" fillId="0" borderId="48" xfId="0" applyNumberFormat="1" applyFont="1" applyFill="1" applyBorder="1" applyAlignment="1">
      <alignment horizontal="center"/>
    </xf>
    <xf numFmtId="0" fontId="13" fillId="0" borderId="49" xfId="0" applyFont="1" applyBorder="1" applyAlignment="1">
      <alignment horizontal="center"/>
    </xf>
    <xf numFmtId="0" fontId="23" fillId="0" borderId="49" xfId="0" applyFont="1" applyBorder="1" applyAlignment="1">
      <alignment horizontal="center"/>
    </xf>
    <xf numFmtId="0" fontId="4" fillId="0" borderId="0" xfId="1" applyFill="1"/>
    <xf numFmtId="0" fontId="4" fillId="0" borderId="0" xfId="1" applyFill="1" applyAlignment="1">
      <alignment horizontal="center"/>
    </xf>
    <xf numFmtId="0" fontId="30" fillId="0" borderId="50" xfId="0" applyFont="1" applyBorder="1" applyAlignment="1">
      <alignment horizontal="center"/>
    </xf>
    <xf numFmtId="0" fontId="11" fillId="0" borderId="33" xfId="0" applyFont="1" applyBorder="1"/>
    <xf numFmtId="164" fontId="7" fillId="0" borderId="43" xfId="0" applyNumberFormat="1" applyFont="1" applyFill="1" applyBorder="1" applyAlignment="1">
      <alignment horizontal="center"/>
    </xf>
    <xf numFmtId="0" fontId="13" fillId="0" borderId="27" xfId="0" applyFont="1" applyBorder="1" applyAlignment="1">
      <alignment horizontal="center"/>
    </xf>
    <xf numFmtId="0" fontId="6" fillId="0" borderId="27" xfId="0" applyFont="1" applyBorder="1" applyAlignment="1">
      <alignment horizontal="center"/>
    </xf>
    <xf numFmtId="0" fontId="13" fillId="0" borderId="29" xfId="0" applyFont="1" applyBorder="1" applyAlignment="1">
      <alignment horizontal="center"/>
    </xf>
    <xf numFmtId="0" fontId="14" fillId="0" borderId="50" xfId="0" applyFont="1" applyBorder="1" applyAlignment="1">
      <alignment horizontal="center"/>
    </xf>
    <xf numFmtId="0" fontId="11" fillId="0" borderId="46" xfId="0" applyFont="1" applyBorder="1"/>
    <xf numFmtId="0" fontId="13" fillId="10" borderId="29" xfId="0" applyFont="1" applyFill="1" applyBorder="1" applyAlignment="1">
      <alignment horizontal="center"/>
    </xf>
    <xf numFmtId="0" fontId="13" fillId="0" borderId="29" xfId="0" applyFont="1" applyFill="1" applyBorder="1" applyAlignment="1">
      <alignment horizontal="center"/>
    </xf>
    <xf numFmtId="0" fontId="13" fillId="0" borderId="27" xfId="0" applyFont="1" applyFill="1" applyBorder="1" applyAlignment="1">
      <alignment horizontal="center"/>
    </xf>
    <xf numFmtId="0" fontId="4" fillId="0" borderId="0" xfId="1" applyFill="1" applyProtection="1">
      <protection locked="0"/>
    </xf>
    <xf numFmtId="0" fontId="10" fillId="0" borderId="46" xfId="0" applyFont="1" applyBorder="1" applyAlignment="1">
      <alignment horizontal="center"/>
    </xf>
    <xf numFmtId="0" fontId="10" fillId="0" borderId="46" xfId="0" applyFont="1" applyFill="1" applyBorder="1" applyAlignment="1">
      <alignment horizontal="center"/>
    </xf>
    <xf numFmtId="0" fontId="5" fillId="0" borderId="0" xfId="1" applyFont="1" applyFill="1" applyAlignment="1">
      <alignment horizontal="left" vertical="top" wrapText="1"/>
    </xf>
    <xf numFmtId="164" fontId="5" fillId="0" borderId="18" xfId="1" applyNumberFormat="1" applyFont="1" applyFill="1" applyBorder="1" applyAlignment="1" applyProtection="1">
      <alignment horizontal="center"/>
      <protection locked="0"/>
    </xf>
    <xf numFmtId="164" fontId="5" fillId="0" borderId="51" xfId="1" applyNumberFormat="1" applyFont="1" applyFill="1" applyBorder="1" applyAlignment="1" applyProtection="1">
      <alignment horizontal="center"/>
      <protection locked="0"/>
    </xf>
    <xf numFmtId="164" fontId="5" fillId="0" borderId="6" xfId="1" applyNumberFormat="1" applyFont="1" applyFill="1" applyBorder="1" applyAlignment="1" applyProtection="1">
      <alignment horizontal="center"/>
      <protection locked="0"/>
    </xf>
    <xf numFmtId="164" fontId="5" fillId="0" borderId="34" xfId="1" applyNumberFormat="1" applyFont="1" applyFill="1" applyBorder="1" applyAlignment="1" applyProtection="1">
      <alignment horizontal="center"/>
      <protection locked="0"/>
    </xf>
    <xf numFmtId="0" fontId="13" fillId="0" borderId="0" xfId="1" applyFont="1" applyFill="1"/>
    <xf numFmtId="2" fontId="6" fillId="0" borderId="17" xfId="0" applyNumberFormat="1" applyFont="1" applyFill="1" applyBorder="1" applyAlignment="1">
      <alignment horizontal="center"/>
    </xf>
    <xf numFmtId="2" fontId="6" fillId="0" borderId="35" xfId="0" applyNumberFormat="1" applyFont="1" applyFill="1" applyBorder="1" applyAlignment="1">
      <alignment horizontal="center"/>
    </xf>
    <xf numFmtId="2" fontId="29" fillId="0" borderId="3" xfId="0" applyNumberFormat="1" applyFont="1" applyFill="1" applyBorder="1" applyAlignment="1">
      <alignment horizontal="center"/>
    </xf>
    <xf numFmtId="164" fontId="9" fillId="0" borderId="17" xfId="1" applyNumberFormat="1" applyFont="1" applyFill="1" applyBorder="1" applyAlignment="1" applyProtection="1">
      <alignment horizontal="center"/>
      <protection locked="0"/>
    </xf>
    <xf numFmtId="164" fontId="9" fillId="0" borderId="19" xfId="1" applyNumberFormat="1" applyFont="1" applyFill="1" applyBorder="1" applyAlignment="1" applyProtection="1">
      <alignment horizontal="center"/>
      <protection locked="0"/>
    </xf>
    <xf numFmtId="164" fontId="9" fillId="0" borderId="32" xfId="1" applyNumberFormat="1" applyFont="1" applyFill="1" applyBorder="1" applyAlignment="1" applyProtection="1">
      <alignment horizontal="center"/>
      <protection locked="0"/>
    </xf>
    <xf numFmtId="1" fontId="9" fillId="0" borderId="32" xfId="1" applyNumberFormat="1" applyFont="1" applyFill="1" applyBorder="1" applyAlignment="1" applyProtection="1">
      <alignment horizontal="center"/>
      <protection locked="0"/>
    </xf>
    <xf numFmtId="0" fontId="12" fillId="2" borderId="52" xfId="1" applyFont="1" applyFill="1" applyBorder="1" applyAlignment="1">
      <alignment horizontal="center"/>
    </xf>
    <xf numFmtId="0" fontId="12" fillId="2" borderId="39" xfId="1" applyFont="1" applyFill="1" applyBorder="1" applyAlignment="1">
      <alignment horizontal="center"/>
    </xf>
    <xf numFmtId="2" fontId="5" fillId="0" borderId="51" xfId="1" applyNumberFormat="1" applyFont="1" applyFill="1" applyBorder="1" applyAlignment="1" applyProtection="1">
      <alignment horizontal="center"/>
      <protection locked="0"/>
    </xf>
    <xf numFmtId="2" fontId="5" fillId="3" borderId="51" xfId="1" applyNumberFormat="1" applyFont="1" applyFill="1" applyBorder="1" applyAlignment="1" applyProtection="1">
      <alignment horizontal="center"/>
      <protection locked="0"/>
    </xf>
    <xf numFmtId="2" fontId="5" fillId="3" borderId="22" xfId="1" applyNumberFormat="1" applyFont="1" applyFill="1" applyBorder="1" applyAlignment="1" applyProtection="1">
      <alignment horizontal="center"/>
      <protection locked="0"/>
    </xf>
    <xf numFmtId="2" fontId="5" fillId="0" borderId="34" xfId="1" applyNumberFormat="1" applyFont="1" applyFill="1" applyBorder="1" applyAlignment="1" applyProtection="1">
      <alignment horizontal="center"/>
      <protection locked="0"/>
    </xf>
    <xf numFmtId="2" fontId="5" fillId="3" borderId="18" xfId="1" applyNumberFormat="1" applyFont="1" applyFill="1" applyBorder="1" applyAlignment="1" applyProtection="1">
      <alignment horizontal="center"/>
      <protection locked="0"/>
    </xf>
    <xf numFmtId="0" fontId="13" fillId="0" borderId="30" xfId="0" applyFont="1" applyFill="1" applyBorder="1" applyAlignment="1">
      <alignment horizontal="right" indent="1"/>
    </xf>
    <xf numFmtId="2" fontId="13" fillId="0" borderId="40" xfId="0" applyNumberFormat="1" applyFont="1" applyFill="1" applyBorder="1" applyAlignment="1">
      <alignment horizontal="center"/>
    </xf>
    <xf numFmtId="2" fontId="13" fillId="0" borderId="21" xfId="0" applyNumberFormat="1" applyFont="1" applyFill="1" applyBorder="1" applyAlignment="1">
      <alignment horizontal="center"/>
    </xf>
    <xf numFmtId="165" fontId="5" fillId="0" borderId="18" xfId="1" applyNumberFormat="1" applyFont="1" applyFill="1" applyBorder="1" applyAlignment="1" applyProtection="1">
      <alignment horizontal="center"/>
      <protection locked="0"/>
    </xf>
    <xf numFmtId="165" fontId="5" fillId="0" borderId="51" xfId="1" applyNumberFormat="1" applyFont="1" applyFill="1" applyBorder="1" applyAlignment="1" applyProtection="1">
      <alignment horizontal="center"/>
      <protection locked="0"/>
    </xf>
    <xf numFmtId="165" fontId="5" fillId="0" borderId="34" xfId="1" applyNumberFormat="1" applyFont="1" applyFill="1" applyBorder="1" applyAlignment="1" applyProtection="1">
      <alignment horizontal="center"/>
      <protection locked="0"/>
    </xf>
    <xf numFmtId="0" fontId="0" fillId="0" borderId="0" xfId="0" applyBorder="1"/>
    <xf numFmtId="0" fontId="17" fillId="0" borderId="0" xfId="1" applyFont="1" applyFill="1" applyBorder="1" applyAlignment="1"/>
    <xf numFmtId="164" fontId="0" fillId="0" borderId="0" xfId="0" applyNumberFormat="1"/>
    <xf numFmtId="0" fontId="33" fillId="0" borderId="0" xfId="0" applyFont="1" applyAlignment="1">
      <alignment horizontal="right"/>
    </xf>
    <xf numFmtId="164" fontId="9" fillId="10" borderId="17" xfId="1" applyNumberFormat="1" applyFont="1" applyFill="1" applyBorder="1" applyAlignment="1" applyProtection="1">
      <alignment horizontal="center"/>
      <protection locked="0"/>
    </xf>
    <xf numFmtId="164" fontId="9" fillId="10" borderId="19" xfId="1" applyNumberFormat="1" applyFont="1" applyFill="1" applyBorder="1" applyAlignment="1" applyProtection="1">
      <alignment horizontal="center"/>
      <protection locked="0"/>
    </xf>
    <xf numFmtId="164" fontId="9" fillId="10" borderId="32" xfId="1" applyNumberFormat="1" applyFont="1" applyFill="1" applyBorder="1" applyAlignment="1" applyProtection="1">
      <alignment horizontal="center"/>
      <protection locked="0"/>
    </xf>
    <xf numFmtId="0" fontId="6" fillId="0" borderId="1" xfId="0" applyFont="1" applyBorder="1" applyAlignment="1">
      <alignment horizontal="center"/>
    </xf>
    <xf numFmtId="0" fontId="28" fillId="0" borderId="1" xfId="0" applyFont="1" applyBorder="1" applyAlignment="1">
      <alignment horizontal="center"/>
    </xf>
    <xf numFmtId="0" fontId="29" fillId="0" borderId="1" xfId="0" applyFont="1" applyBorder="1" applyAlignment="1">
      <alignment horizontal="center"/>
    </xf>
    <xf numFmtId="0" fontId="21" fillId="0" borderId="49" xfId="0" applyFont="1" applyBorder="1" applyAlignment="1">
      <alignment horizontal="center"/>
    </xf>
    <xf numFmtId="164" fontId="21" fillId="0" borderId="3" xfId="0" applyNumberFormat="1" applyFont="1" applyBorder="1" applyAlignment="1">
      <alignment horizontal="center"/>
    </xf>
    <xf numFmtId="0" fontId="36" fillId="0" borderId="49" xfId="0" applyFont="1" applyBorder="1" applyAlignment="1">
      <alignment horizontal="center"/>
    </xf>
    <xf numFmtId="0" fontId="37" fillId="0" borderId="1" xfId="0" applyFont="1" applyBorder="1" applyAlignment="1">
      <alignment horizontal="center"/>
    </xf>
    <xf numFmtId="0" fontId="38" fillId="0" borderId="49" xfId="0" applyFont="1" applyBorder="1" applyAlignment="1">
      <alignment horizontal="center"/>
    </xf>
    <xf numFmtId="0" fontId="39" fillId="0" borderId="1" xfId="0" applyFont="1" applyBorder="1" applyAlignment="1">
      <alignment horizontal="center"/>
    </xf>
    <xf numFmtId="0" fontId="35" fillId="0" borderId="49" xfId="0" applyFont="1" applyBorder="1" applyAlignment="1">
      <alignment horizontal="center"/>
    </xf>
    <xf numFmtId="164" fontId="35" fillId="0" borderId="3" xfId="0" applyNumberFormat="1" applyFont="1" applyBorder="1" applyAlignment="1">
      <alignment horizontal="center"/>
    </xf>
    <xf numFmtId="164" fontId="6" fillId="0" borderId="3" xfId="0" applyNumberFormat="1" applyFont="1" applyBorder="1" applyAlignment="1">
      <alignment horizontal="center"/>
    </xf>
    <xf numFmtId="164" fontId="37" fillId="0" borderId="3" xfId="0" applyNumberFormat="1" applyFont="1" applyBorder="1" applyAlignment="1">
      <alignment horizontal="center"/>
    </xf>
    <xf numFmtId="0" fontId="17" fillId="12" borderId="0" xfId="1" applyFont="1" applyFill="1" applyBorder="1" applyAlignment="1"/>
    <xf numFmtId="0" fontId="6" fillId="0" borderId="0" xfId="0" applyFont="1" applyBorder="1" applyAlignment="1">
      <alignment horizontal="right"/>
    </xf>
    <xf numFmtId="164" fontId="37" fillId="0" borderId="6" xfId="0" applyNumberFormat="1" applyFont="1" applyBorder="1" applyAlignment="1">
      <alignment horizontal="center"/>
    </xf>
    <xf numFmtId="164" fontId="35" fillId="0" borderId="6" xfId="0" applyNumberFormat="1" applyFont="1" applyBorder="1" applyAlignment="1">
      <alignment horizontal="center"/>
    </xf>
    <xf numFmtId="164" fontId="6" fillId="0" borderId="6" xfId="0" applyNumberFormat="1" applyFont="1" applyBorder="1" applyAlignment="1">
      <alignment horizontal="center"/>
    </xf>
    <xf numFmtId="164" fontId="21" fillId="0" borderId="6" xfId="0" applyNumberFormat="1" applyFont="1" applyBorder="1" applyAlignment="1">
      <alignment horizontal="center"/>
    </xf>
    <xf numFmtId="0" fontId="40" fillId="0" borderId="1" xfId="0" applyFont="1" applyBorder="1" applyAlignment="1">
      <alignment horizontal="center"/>
    </xf>
    <xf numFmtId="164" fontId="23" fillId="0" borderId="6" xfId="0" applyNumberFormat="1" applyFont="1" applyBorder="1" applyAlignment="1">
      <alignment horizontal="center"/>
    </xf>
    <xf numFmtId="164" fontId="23" fillId="0" borderId="3" xfId="0" applyNumberFormat="1" applyFont="1" applyBorder="1" applyAlignment="1">
      <alignment horizontal="center"/>
    </xf>
    <xf numFmtId="0" fontId="13" fillId="0" borderId="0" xfId="1" applyFont="1" applyFill="1" applyBorder="1" applyAlignment="1"/>
    <xf numFmtId="0" fontId="13" fillId="0" borderId="0" xfId="1" applyFont="1" applyFill="1" applyBorder="1" applyAlignment="1">
      <alignment horizontal="left" indent="2"/>
    </xf>
    <xf numFmtId="0" fontId="13" fillId="0" borderId="3" xfId="0" applyFont="1" applyBorder="1" applyAlignment="1">
      <alignment horizontal="center" vertical="center"/>
    </xf>
    <xf numFmtId="0" fontId="13" fillId="0" borderId="1" xfId="0" applyFont="1" applyBorder="1" applyAlignment="1">
      <alignment horizontal="center" vertical="center"/>
    </xf>
    <xf numFmtId="1" fontId="13" fillId="0" borderId="3" xfId="0" applyNumberFormat="1" applyFont="1" applyBorder="1" applyAlignment="1">
      <alignment horizontal="center"/>
    </xf>
    <xf numFmtId="1" fontId="13" fillId="0" borderId="6" xfId="0" applyNumberFormat="1" applyFont="1" applyBorder="1" applyAlignment="1">
      <alignment horizontal="center"/>
    </xf>
    <xf numFmtId="1" fontId="13" fillId="0" borderId="1" xfId="0" applyNumberFormat="1" applyFont="1" applyBorder="1" applyAlignment="1">
      <alignment horizontal="center"/>
    </xf>
    <xf numFmtId="0" fontId="13" fillId="0" borderId="6" xfId="0" applyFont="1" applyBorder="1" applyAlignment="1">
      <alignment horizontal="center" vertical="center"/>
    </xf>
    <xf numFmtId="164" fontId="43" fillId="15" borderId="3" xfId="0" applyNumberFormat="1" applyFont="1" applyFill="1" applyBorder="1" applyAlignment="1">
      <alignment horizontal="center"/>
    </xf>
    <xf numFmtId="164" fontId="43" fillId="15" borderId="6" xfId="0" applyNumberFormat="1" applyFont="1" applyFill="1" applyBorder="1" applyAlignment="1">
      <alignment horizontal="center"/>
    </xf>
    <xf numFmtId="164" fontId="43" fillId="5" borderId="3" xfId="0" applyNumberFormat="1" applyFont="1" applyFill="1" applyBorder="1" applyAlignment="1">
      <alignment horizontal="center"/>
    </xf>
    <xf numFmtId="164" fontId="43" fillId="5" borderId="6" xfId="0" applyNumberFormat="1" applyFont="1" applyFill="1" applyBorder="1" applyAlignment="1">
      <alignment horizontal="center"/>
    </xf>
    <xf numFmtId="164" fontId="43" fillId="8" borderId="3" xfId="0" applyNumberFormat="1" applyFont="1" applyFill="1" applyBorder="1" applyAlignment="1">
      <alignment horizontal="center"/>
    </xf>
    <xf numFmtId="0" fontId="11" fillId="0" borderId="0" xfId="1" applyFont="1"/>
    <xf numFmtId="49" fontId="44" fillId="0" borderId="13" xfId="1" applyNumberFormat="1" applyFont="1" applyFill="1" applyBorder="1" applyAlignment="1">
      <alignment horizontal="right"/>
    </xf>
    <xf numFmtId="0" fontId="5" fillId="0" borderId="0" xfId="1" applyFont="1" applyFill="1" applyAlignment="1">
      <alignment horizontal="left" indent="2"/>
    </xf>
    <xf numFmtId="164" fontId="29" fillId="0" borderId="3" xfId="0" applyNumberFormat="1" applyFont="1" applyBorder="1" applyAlignment="1">
      <alignment horizontal="center"/>
    </xf>
    <xf numFmtId="164" fontId="29" fillId="0" borderId="6" xfId="0" applyNumberFormat="1" applyFont="1" applyBorder="1" applyAlignment="1">
      <alignment horizontal="center"/>
    </xf>
    <xf numFmtId="14" fontId="28" fillId="0" borderId="0" xfId="0" applyNumberFormat="1" applyFont="1" applyAlignment="1">
      <alignment horizontal="left"/>
    </xf>
    <xf numFmtId="0" fontId="3" fillId="0" borderId="0" xfId="3"/>
    <xf numFmtId="0" fontId="50" fillId="0" borderId="0" xfId="3" applyFont="1"/>
    <xf numFmtId="0" fontId="48" fillId="0" borderId="0" xfId="3" applyFont="1"/>
    <xf numFmtId="0" fontId="50" fillId="0" borderId="0" xfId="3" applyFont="1" applyAlignment="1">
      <alignment horizontal="left" indent="2"/>
    </xf>
    <xf numFmtId="0" fontId="3" fillId="0" borderId="0" xfId="3" applyFont="1"/>
    <xf numFmtId="0" fontId="3" fillId="0" borderId="0" xfId="3" applyFont="1" applyAlignment="1">
      <alignment horizontal="left" indent="2"/>
    </xf>
    <xf numFmtId="14" fontId="28" fillId="0" borderId="0" xfId="0" applyNumberFormat="1" applyFont="1" applyAlignment="1"/>
    <xf numFmtId="0" fontId="49" fillId="12" borderId="0" xfId="3" applyFont="1" applyFill="1"/>
    <xf numFmtId="0" fontId="50" fillId="0" borderId="0" xfId="3" applyFont="1" applyAlignment="1">
      <alignment horizontal="left" vertical="top" indent="2"/>
    </xf>
    <xf numFmtId="0" fontId="13" fillId="0" borderId="15" xfId="0" applyFont="1" applyBorder="1" applyAlignment="1">
      <alignment horizontal="center"/>
    </xf>
    <xf numFmtId="0" fontId="6" fillId="0" borderId="56" xfId="0" applyFont="1" applyBorder="1" applyAlignment="1">
      <alignment horizontal="center"/>
    </xf>
    <xf numFmtId="0" fontId="6" fillId="0" borderId="3" xfId="0" applyFont="1" applyBorder="1" applyAlignment="1">
      <alignment horizontal="center"/>
    </xf>
    <xf numFmtId="0" fontId="6" fillId="0" borderId="19" xfId="0" applyFont="1" applyBorder="1" applyAlignment="1">
      <alignment horizontal="center" vertical="center"/>
    </xf>
    <xf numFmtId="0" fontId="6" fillId="0" borderId="35" xfId="0" applyFont="1" applyBorder="1" applyAlignment="1">
      <alignment horizontal="center"/>
    </xf>
    <xf numFmtId="0" fontId="30" fillId="0" borderId="3" xfId="0" applyFont="1" applyBorder="1" applyAlignment="1">
      <alignment horizontal="center"/>
    </xf>
    <xf numFmtId="0" fontId="13" fillId="0" borderId="55" xfId="0" applyFont="1" applyBorder="1" applyAlignment="1">
      <alignment horizontal="center"/>
    </xf>
    <xf numFmtId="0" fontId="37" fillId="0" borderId="17" xfId="0" applyFont="1" applyBorder="1" applyAlignment="1">
      <alignment horizontal="center" vertical="center"/>
    </xf>
    <xf numFmtId="0" fontId="55" fillId="0" borderId="19" xfId="0" applyFont="1" applyBorder="1" applyAlignment="1">
      <alignment horizontal="center" vertical="center"/>
    </xf>
    <xf numFmtId="0" fontId="28" fillId="0" borderId="19" xfId="0" applyFont="1" applyBorder="1" applyAlignment="1">
      <alignment horizontal="center" vertical="center"/>
    </xf>
    <xf numFmtId="0" fontId="29" fillId="0" borderId="19" xfId="0" applyFont="1" applyBorder="1" applyAlignment="1">
      <alignment horizontal="center" vertical="center"/>
    </xf>
    <xf numFmtId="0" fontId="39" fillId="0" borderId="32" xfId="0" applyFont="1" applyBorder="1" applyAlignment="1">
      <alignment horizontal="center" vertical="center"/>
    </xf>
    <xf numFmtId="164" fontId="38" fillId="0" borderId="3" xfId="0" applyNumberFormat="1" applyFont="1" applyBorder="1" applyAlignment="1">
      <alignment horizontal="center" vertical="center"/>
    </xf>
    <xf numFmtId="164" fontId="56" fillId="0" borderId="1" xfId="0" applyNumberFormat="1" applyFont="1" applyBorder="1" applyAlignment="1">
      <alignment horizontal="center" vertical="center"/>
    </xf>
    <xf numFmtId="164" fontId="13" fillId="0" borderId="1" xfId="0" applyNumberFormat="1" applyFont="1" applyBorder="1" applyAlignment="1">
      <alignment horizontal="center" vertical="center"/>
    </xf>
    <xf numFmtId="164" fontId="23" fillId="0" borderId="1" xfId="0" applyNumberFormat="1" applyFont="1" applyBorder="1" applyAlignment="1">
      <alignment horizontal="center" vertical="center"/>
    </xf>
    <xf numFmtId="164" fontId="21" fillId="0" borderId="1" xfId="0" applyNumberFormat="1" applyFont="1" applyBorder="1" applyAlignment="1">
      <alignment horizontal="center" vertical="center"/>
    </xf>
    <xf numFmtId="164" fontId="35" fillId="0" borderId="6" xfId="0" applyNumberFormat="1" applyFont="1" applyBorder="1" applyAlignment="1">
      <alignment horizontal="center" vertical="center"/>
    </xf>
    <xf numFmtId="0" fontId="5" fillId="0" borderId="0" xfId="1" applyFont="1" applyFill="1" applyAlignment="1">
      <alignment horizontal="left" vertical="top" wrapText="1"/>
    </xf>
    <xf numFmtId="0" fontId="57" fillId="0" borderId="0" xfId="1" applyFont="1"/>
    <xf numFmtId="0" fontId="57" fillId="0" borderId="0" xfId="1" applyFont="1" applyAlignment="1">
      <alignment horizontal="center"/>
    </xf>
    <xf numFmtId="2" fontId="57" fillId="0" borderId="0" xfId="1" applyNumberFormat="1" applyFont="1" applyProtection="1">
      <protection locked="0"/>
    </xf>
    <xf numFmtId="165" fontId="5" fillId="10" borderId="18" xfId="1" applyNumberFormat="1" applyFont="1" applyFill="1" applyBorder="1" applyAlignment="1" applyProtection="1">
      <alignment horizontal="center"/>
      <protection locked="0"/>
    </xf>
    <xf numFmtId="165" fontId="5" fillId="10" borderId="51" xfId="1" applyNumberFormat="1" applyFont="1" applyFill="1" applyBorder="1" applyAlignment="1" applyProtection="1">
      <alignment horizontal="center"/>
      <protection locked="0"/>
    </xf>
    <xf numFmtId="165" fontId="5" fillId="10" borderId="34" xfId="1" applyNumberFormat="1" applyFont="1" applyFill="1" applyBorder="1" applyAlignment="1" applyProtection="1">
      <alignment horizontal="center"/>
      <protection locked="0"/>
    </xf>
    <xf numFmtId="1" fontId="9" fillId="10" borderId="32" xfId="1" applyNumberFormat="1" applyFont="1" applyFill="1" applyBorder="1" applyAlignment="1" applyProtection="1">
      <alignment horizontal="center"/>
      <protection locked="0"/>
    </xf>
    <xf numFmtId="1" fontId="9" fillId="10" borderId="17" xfId="1" applyNumberFormat="1" applyFont="1" applyFill="1" applyBorder="1" applyAlignment="1" applyProtection="1">
      <alignment horizontal="center"/>
      <protection locked="0"/>
    </xf>
    <xf numFmtId="0" fontId="58" fillId="0" borderId="1" xfId="0" applyFont="1" applyBorder="1" applyAlignment="1">
      <alignment horizontal="center"/>
    </xf>
    <xf numFmtId="0" fontId="60" fillId="0" borderId="49" xfId="0" applyFont="1" applyBorder="1" applyAlignment="1">
      <alignment horizontal="center"/>
    </xf>
    <xf numFmtId="164" fontId="58" fillId="0" borderId="3" xfId="0" applyNumberFormat="1" applyFont="1" applyBorder="1" applyAlignment="1">
      <alignment horizontal="center"/>
    </xf>
    <xf numFmtId="164" fontId="58" fillId="0" borderId="6" xfId="0" applyNumberFormat="1" applyFont="1" applyBorder="1" applyAlignment="1">
      <alignment horizontal="center"/>
    </xf>
    <xf numFmtId="0" fontId="12" fillId="2" borderId="60" xfId="1" applyFont="1" applyFill="1" applyBorder="1" applyAlignment="1">
      <alignment horizontal="center"/>
    </xf>
    <xf numFmtId="0" fontId="12" fillId="2" borderId="54" xfId="1" applyFont="1" applyFill="1" applyBorder="1" applyAlignment="1">
      <alignment horizontal="center"/>
    </xf>
    <xf numFmtId="0" fontId="50" fillId="0" borderId="0" xfId="3" applyFont="1" applyAlignment="1">
      <alignment horizontal="left" indent="8"/>
    </xf>
    <xf numFmtId="0" fontId="62" fillId="0" borderId="49" xfId="0" applyFont="1" applyBorder="1" applyAlignment="1">
      <alignment horizontal="center"/>
    </xf>
    <xf numFmtId="0" fontId="7" fillId="12" borderId="0" xfId="3" applyFont="1" applyFill="1"/>
    <xf numFmtId="0" fontId="67" fillId="7" borderId="0" xfId="2" applyFont="1" applyFill="1" applyAlignment="1">
      <alignment horizontal="center"/>
    </xf>
    <xf numFmtId="0" fontId="67" fillId="7" borderId="0" xfId="2" applyFont="1" applyFill="1"/>
    <xf numFmtId="0" fontId="68" fillId="0" borderId="0" xfId="2" applyFont="1"/>
    <xf numFmtId="0" fontId="68" fillId="0" borderId="0" xfId="2" applyFont="1" applyAlignment="1">
      <alignment horizontal="center"/>
    </xf>
    <xf numFmtId="0" fontId="69" fillId="0" borderId="0" xfId="2" applyFont="1" applyAlignment="1">
      <alignment horizontal="left"/>
    </xf>
    <xf numFmtId="0" fontId="71" fillId="0" borderId="25" xfId="2" applyFont="1" applyBorder="1" applyAlignment="1">
      <alignment horizontal="center" wrapText="1"/>
    </xf>
    <xf numFmtId="0" fontId="71" fillId="0" borderId="26" xfId="2" applyFont="1" applyBorder="1" applyAlignment="1">
      <alignment horizontal="center" wrapText="1"/>
    </xf>
    <xf numFmtId="0" fontId="71" fillId="0" borderId="53" xfId="2" applyFont="1" applyBorder="1" applyAlignment="1">
      <alignment horizontal="center" wrapText="1"/>
    </xf>
    <xf numFmtId="0" fontId="71" fillId="0" borderId="49" xfId="2" applyFont="1" applyBorder="1" applyAlignment="1">
      <alignment horizontal="center" wrapText="1"/>
    </xf>
    <xf numFmtId="0" fontId="71" fillId="0" borderId="54" xfId="2" applyFont="1" applyBorder="1" applyAlignment="1">
      <alignment horizontal="center" wrapText="1"/>
    </xf>
    <xf numFmtId="164" fontId="72" fillId="0" borderId="29" xfId="2" applyNumberFormat="1" applyFont="1" applyBorder="1" applyAlignment="1">
      <alignment horizontal="center"/>
    </xf>
    <xf numFmtId="0" fontId="68" fillId="0" borderId="17" xfId="2" applyFont="1" applyBorder="1" applyAlignment="1">
      <alignment horizontal="center"/>
    </xf>
    <xf numFmtId="0" fontId="68" fillId="0" borderId="3" xfId="2" applyFont="1" applyBorder="1" applyAlignment="1">
      <alignment horizontal="center"/>
    </xf>
    <xf numFmtId="0" fontId="68" fillId="0" borderId="18" xfId="2" applyFont="1" applyBorder="1" applyAlignment="1">
      <alignment horizontal="center"/>
    </xf>
    <xf numFmtId="0" fontId="68" fillId="0" borderId="27" xfId="2" applyNumberFormat="1" applyFont="1" applyBorder="1" applyAlignment="1">
      <alignment horizontal="center"/>
    </xf>
    <xf numFmtId="0" fontId="68" fillId="0" borderId="19" xfId="2" applyFont="1" applyBorder="1" applyAlignment="1">
      <alignment horizontal="center"/>
    </xf>
    <xf numFmtId="0" fontId="68" fillId="0" borderId="1" xfId="2" applyFont="1" applyBorder="1" applyAlignment="1">
      <alignment horizontal="center"/>
    </xf>
    <xf numFmtId="0" fontId="68" fillId="0" borderId="51" xfId="2" applyFont="1" applyBorder="1" applyAlignment="1">
      <alignment horizontal="center"/>
    </xf>
    <xf numFmtId="164" fontId="68" fillId="0" borderId="27" xfId="2" applyNumberFormat="1" applyFont="1" applyBorder="1" applyAlignment="1">
      <alignment horizontal="center"/>
    </xf>
    <xf numFmtId="2" fontId="68" fillId="0" borderId="0" xfId="2" applyNumberFormat="1" applyFont="1"/>
    <xf numFmtId="164" fontId="68" fillId="0" borderId="28" xfId="2" applyNumberFormat="1" applyFont="1" applyBorder="1" applyAlignment="1">
      <alignment horizontal="center"/>
    </xf>
    <xf numFmtId="0" fontId="68" fillId="0" borderId="32" xfId="2" applyFont="1" applyBorder="1" applyAlignment="1">
      <alignment horizontal="center"/>
    </xf>
    <xf numFmtId="0" fontId="68" fillId="0" borderId="6" xfId="2" applyFont="1" applyBorder="1" applyAlignment="1">
      <alignment horizontal="center"/>
    </xf>
    <xf numFmtId="0" fontId="68" fillId="0" borderId="34" xfId="2" applyFont="1" applyBorder="1" applyAlignment="1">
      <alignment horizontal="center"/>
    </xf>
    <xf numFmtId="0" fontId="7" fillId="7" borderId="0" xfId="2" applyFont="1" applyFill="1" applyAlignment="1">
      <alignment horizontal="left"/>
    </xf>
    <xf numFmtId="0" fontId="6" fillId="0" borderId="51" xfId="0" applyFont="1" applyBorder="1" applyAlignment="1">
      <alignment horizontal="center"/>
    </xf>
    <xf numFmtId="0" fontId="12" fillId="0" borderId="54" xfId="0" applyFont="1" applyBorder="1" applyAlignment="1">
      <alignment horizontal="center"/>
    </xf>
    <xf numFmtId="164" fontId="4" fillId="0" borderId="0" xfId="1" applyNumberFormat="1"/>
    <xf numFmtId="2" fontId="0" fillId="0" borderId="0" xfId="0" applyNumberFormat="1"/>
    <xf numFmtId="0" fontId="28" fillId="0" borderId="0" xfId="0" applyFont="1" applyBorder="1" applyAlignment="1">
      <alignment horizontal="right" vertical="center"/>
    </xf>
    <xf numFmtId="0" fontId="29" fillId="0" borderId="0" xfId="0" applyFont="1" applyBorder="1" applyAlignment="1">
      <alignment horizontal="right" vertical="center"/>
    </xf>
    <xf numFmtId="0" fontId="65" fillId="0" borderId="0" xfId="0" applyFont="1" applyBorder="1" applyAlignment="1">
      <alignment horizontal="right" vertical="center"/>
    </xf>
    <xf numFmtId="0" fontId="6" fillId="0" borderId="0" xfId="1" applyFont="1"/>
    <xf numFmtId="0" fontId="39" fillId="0" borderId="0" xfId="1" applyFont="1" applyAlignment="1">
      <alignment vertical="center"/>
    </xf>
    <xf numFmtId="0" fontId="29" fillId="0" borderId="0" xfId="1" applyFont="1" applyAlignment="1">
      <alignment vertical="center"/>
    </xf>
    <xf numFmtId="0" fontId="65" fillId="0" borderId="0" xfId="1" applyFont="1" applyAlignment="1">
      <alignment vertical="center"/>
    </xf>
    <xf numFmtId="0" fontId="79" fillId="0" borderId="0" xfId="1" applyFont="1" applyAlignment="1">
      <alignment vertical="center"/>
    </xf>
    <xf numFmtId="0" fontId="58" fillId="0" borderId="0" xfId="1" applyFont="1" applyAlignment="1">
      <alignment vertical="center"/>
    </xf>
    <xf numFmtId="0" fontId="74" fillId="12" borderId="0" xfId="1" applyFont="1" applyFill="1" applyBorder="1" applyAlignment="1">
      <alignment vertical="center"/>
    </xf>
    <xf numFmtId="0" fontId="75" fillId="0" borderId="1" xfId="0" applyFont="1" applyBorder="1" applyAlignment="1">
      <alignment horizontal="center" vertical="center"/>
    </xf>
    <xf numFmtId="0" fontId="76" fillId="8" borderId="1" xfId="0" applyFont="1" applyFill="1" applyBorder="1" applyAlignment="1" applyProtection="1">
      <alignment horizontal="center" vertical="center"/>
      <protection locked="0"/>
    </xf>
    <xf numFmtId="0" fontId="77" fillId="0" borderId="1" xfId="0" applyFont="1" applyBorder="1" applyAlignment="1">
      <alignment horizontal="center" vertical="center"/>
    </xf>
    <xf numFmtId="0" fontId="76" fillId="5" borderId="1" xfId="0" applyFont="1" applyFill="1" applyBorder="1" applyAlignment="1" applyProtection="1">
      <alignment horizontal="center" vertical="center"/>
      <protection locked="0"/>
    </xf>
    <xf numFmtId="0" fontId="78" fillId="0" borderId="1" xfId="0" applyFont="1" applyFill="1" applyBorder="1" applyAlignment="1">
      <alignment horizontal="center" vertical="center"/>
    </xf>
    <xf numFmtId="0" fontId="76" fillId="6" borderId="1" xfId="0" applyFont="1" applyFill="1" applyBorder="1" applyAlignment="1" applyProtection="1">
      <alignment horizontal="center" vertical="center"/>
      <protection locked="0"/>
    </xf>
    <xf numFmtId="0" fontId="80" fillId="11" borderId="1" xfId="0" applyFont="1" applyFill="1" applyBorder="1" applyAlignment="1">
      <alignment horizontal="center"/>
    </xf>
    <xf numFmtId="0" fontId="6" fillId="0" borderId="0" xfId="1" applyFont="1" applyFill="1" applyBorder="1" applyAlignment="1">
      <alignment horizontal="left" indent="2"/>
    </xf>
    <xf numFmtId="0" fontId="82" fillId="0" borderId="0" xfId="3" applyFont="1"/>
    <xf numFmtId="0" fontId="83" fillId="0" borderId="0" xfId="3" applyFont="1"/>
    <xf numFmtId="0" fontId="50" fillId="0" borderId="0" xfId="3" applyFont="1" applyAlignment="1">
      <alignment horizontal="left" indent="10"/>
    </xf>
    <xf numFmtId="0" fontId="50" fillId="0" borderId="0" xfId="3" applyFont="1" applyAlignment="1">
      <alignment horizontal="left" indent="1"/>
    </xf>
    <xf numFmtId="0" fontId="6" fillId="0" borderId="69" xfId="0" applyFont="1" applyBorder="1" applyAlignment="1">
      <alignment horizontal="center"/>
    </xf>
    <xf numFmtId="165" fontId="36" fillId="0" borderId="3" xfId="0" applyNumberFormat="1" applyFont="1" applyBorder="1" applyAlignment="1">
      <alignment horizontal="center"/>
    </xf>
    <xf numFmtId="165" fontId="36" fillId="0" borderId="6" xfId="0" applyNumberFormat="1" applyFont="1" applyBorder="1" applyAlignment="1">
      <alignment horizontal="center"/>
    </xf>
    <xf numFmtId="0" fontId="2" fillId="0" borderId="0" xfId="4"/>
    <xf numFmtId="0" fontId="2" fillId="0" borderId="0" xfId="4" applyAlignment="1">
      <alignment horizontal="center"/>
    </xf>
    <xf numFmtId="0" fontId="48" fillId="0" borderId="0" xfId="4" applyFont="1" applyAlignment="1">
      <alignment horizontal="center"/>
    </xf>
    <xf numFmtId="0" fontId="84" fillId="0" borderId="0" xfId="4" applyFont="1" applyAlignment="1">
      <alignment horizontal="center"/>
    </xf>
    <xf numFmtId="0" fontId="87" fillId="0" borderId="0" xfId="4" applyFont="1" applyAlignment="1">
      <alignment horizontal="center"/>
    </xf>
    <xf numFmtId="0" fontId="86" fillId="0" borderId="49" xfId="4" applyFont="1" applyBorder="1" applyAlignment="1">
      <alignment horizontal="center"/>
    </xf>
    <xf numFmtId="164" fontId="8" fillId="7" borderId="3" xfId="4" applyNumberFormat="1" applyFont="1" applyFill="1" applyBorder="1" applyAlignment="1">
      <alignment horizontal="center"/>
    </xf>
    <xf numFmtId="164" fontId="8" fillId="7" borderId="1" xfId="4" applyNumberFormat="1" applyFont="1" applyFill="1" applyBorder="1" applyAlignment="1">
      <alignment horizontal="center"/>
    </xf>
    <xf numFmtId="164" fontId="8" fillId="7" borderId="6" xfId="4" applyNumberFormat="1" applyFont="1" applyFill="1" applyBorder="1" applyAlignment="1">
      <alignment horizontal="center"/>
    </xf>
    <xf numFmtId="164" fontId="9" fillId="16" borderId="3" xfId="4" applyNumberFormat="1" applyFont="1" applyFill="1" applyBorder="1" applyAlignment="1">
      <alignment horizontal="center"/>
    </xf>
    <xf numFmtId="164" fontId="9" fillId="16" borderId="1" xfId="4" applyNumberFormat="1" applyFont="1" applyFill="1" applyBorder="1" applyAlignment="1">
      <alignment horizontal="center"/>
    </xf>
    <xf numFmtId="164" fontId="9" fillId="16" borderId="6" xfId="4" applyNumberFormat="1" applyFont="1" applyFill="1" applyBorder="1" applyAlignment="1">
      <alignment horizontal="center"/>
    </xf>
    <xf numFmtId="164" fontId="9" fillId="3" borderId="3" xfId="4" applyNumberFormat="1" applyFont="1" applyFill="1" applyBorder="1" applyAlignment="1">
      <alignment horizontal="center"/>
    </xf>
    <xf numFmtId="164" fontId="9" fillId="3" borderId="1" xfId="4" applyNumberFormat="1" applyFont="1" applyFill="1" applyBorder="1" applyAlignment="1">
      <alignment horizontal="center"/>
    </xf>
    <xf numFmtId="164" fontId="9" fillId="3" borderId="6" xfId="4" applyNumberFormat="1" applyFont="1" applyFill="1" applyBorder="1" applyAlignment="1">
      <alignment horizontal="center"/>
    </xf>
    <xf numFmtId="164" fontId="8" fillId="15" borderId="3" xfId="4" applyNumberFormat="1" applyFont="1" applyFill="1" applyBorder="1" applyAlignment="1">
      <alignment horizontal="center"/>
    </xf>
    <xf numFmtId="164" fontId="8" fillId="15" borderId="1" xfId="4" applyNumberFormat="1" applyFont="1" applyFill="1" applyBorder="1" applyAlignment="1">
      <alignment horizontal="center"/>
    </xf>
    <xf numFmtId="164" fontId="8" fillId="15" borderId="6" xfId="4" applyNumberFormat="1" applyFont="1" applyFill="1" applyBorder="1" applyAlignment="1">
      <alignment horizontal="center"/>
    </xf>
    <xf numFmtId="164" fontId="8" fillId="5" borderId="3" xfId="4" applyNumberFormat="1" applyFont="1" applyFill="1" applyBorder="1" applyAlignment="1">
      <alignment horizontal="center"/>
    </xf>
    <xf numFmtId="164" fontId="8" fillId="5" borderId="1" xfId="4" applyNumberFormat="1" applyFont="1" applyFill="1" applyBorder="1" applyAlignment="1">
      <alignment horizontal="center"/>
    </xf>
    <xf numFmtId="164" fontId="8" fillId="5" borderId="6" xfId="4" applyNumberFormat="1" applyFont="1" applyFill="1" applyBorder="1" applyAlignment="1">
      <alignment horizontal="center"/>
    </xf>
    <xf numFmtId="164" fontId="8" fillId="8" borderId="3" xfId="4" applyNumberFormat="1" applyFont="1" applyFill="1" applyBorder="1" applyAlignment="1">
      <alignment horizontal="center"/>
    </xf>
    <xf numFmtId="164" fontId="8" fillId="8" borderId="1" xfId="4" applyNumberFormat="1" applyFont="1" applyFill="1" applyBorder="1" applyAlignment="1">
      <alignment horizontal="center"/>
    </xf>
    <xf numFmtId="164" fontId="2" fillId="0" borderId="0" xfId="4" applyNumberFormat="1"/>
    <xf numFmtId="0" fontId="7" fillId="18" borderId="0" xfId="1" applyFont="1" applyFill="1" applyBorder="1" applyAlignment="1">
      <alignment vertical="center"/>
    </xf>
    <xf numFmtId="0" fontId="17" fillId="18" borderId="0" xfId="1" applyFont="1" applyFill="1" applyBorder="1" applyAlignment="1"/>
    <xf numFmtId="0" fontId="76" fillId="21" borderId="5" xfId="0" applyFont="1" applyFill="1" applyBorder="1" applyAlignment="1" applyProtection="1">
      <alignment horizontal="center"/>
      <protection locked="0"/>
    </xf>
    <xf numFmtId="165" fontId="38" fillId="0" borderId="3" xfId="0" applyNumberFormat="1" applyFont="1" applyBorder="1" applyAlignment="1">
      <alignment horizontal="center" vertical="center"/>
    </xf>
    <xf numFmtId="165" fontId="56"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165" fontId="23" fillId="0" borderId="1" xfId="0" applyNumberFormat="1" applyFont="1" applyBorder="1" applyAlignment="1">
      <alignment horizontal="center" vertical="center"/>
    </xf>
    <xf numFmtId="165" fontId="21" fillId="0" borderId="1" xfId="0" applyNumberFormat="1" applyFont="1" applyBorder="1" applyAlignment="1">
      <alignment horizontal="center" vertical="center"/>
    </xf>
    <xf numFmtId="165" fontId="35" fillId="0" borderId="6" xfId="0" applyNumberFormat="1" applyFont="1" applyBorder="1" applyAlignment="1">
      <alignment horizontal="center" vertical="center"/>
    </xf>
    <xf numFmtId="2" fontId="18" fillId="0" borderId="0" xfId="1" applyNumberFormat="1" applyFont="1"/>
    <xf numFmtId="2" fontId="11" fillId="0" borderId="0" xfId="1" applyNumberFormat="1" applyFont="1"/>
    <xf numFmtId="2" fontId="11" fillId="0" borderId="0" xfId="0" applyNumberFormat="1" applyFont="1"/>
    <xf numFmtId="2" fontId="6" fillId="0" borderId="23" xfId="0" applyNumberFormat="1" applyFont="1" applyBorder="1" applyAlignment="1">
      <alignment horizontal="center"/>
    </xf>
    <xf numFmtId="2" fontId="6" fillId="0" borderId="35" xfId="0" applyNumberFormat="1" applyFont="1" applyBorder="1" applyAlignment="1">
      <alignment horizontal="center"/>
    </xf>
    <xf numFmtId="2" fontId="6" fillId="0" borderId="3" xfId="0" applyNumberFormat="1" applyFont="1" applyBorder="1" applyAlignment="1">
      <alignment horizontal="center"/>
    </xf>
    <xf numFmtId="2" fontId="6" fillId="0" borderId="65" xfId="0" applyNumberFormat="1" applyFont="1" applyBorder="1" applyAlignment="1">
      <alignment horizontal="center"/>
    </xf>
    <xf numFmtId="2" fontId="12" fillId="0" borderId="49" xfId="0" applyNumberFormat="1" applyFont="1" applyBorder="1" applyAlignment="1">
      <alignment horizontal="center"/>
    </xf>
    <xf numFmtId="2" fontId="12" fillId="0" borderId="55" xfId="0" applyNumberFormat="1" applyFont="1" applyBorder="1" applyAlignment="1">
      <alignment horizontal="center"/>
    </xf>
    <xf numFmtId="2" fontId="12" fillId="0" borderId="66" xfId="0" applyNumberFormat="1" applyFont="1" applyBorder="1" applyAlignment="1">
      <alignment horizontal="center"/>
    </xf>
    <xf numFmtId="2" fontId="38" fillId="0" borderId="3" xfId="0" applyNumberFormat="1" applyFont="1" applyBorder="1" applyAlignment="1">
      <alignment horizontal="center" vertical="center"/>
    </xf>
    <xf numFmtId="2" fontId="38" fillId="0" borderId="35" xfId="0" applyNumberFormat="1" applyFont="1" applyBorder="1" applyAlignment="1">
      <alignment horizontal="center" vertical="center"/>
    </xf>
    <xf numFmtId="2" fontId="56" fillId="0" borderId="1" xfId="0" applyNumberFormat="1" applyFont="1" applyBorder="1" applyAlignment="1">
      <alignment horizontal="center" vertical="center"/>
    </xf>
    <xf numFmtId="2" fontId="56" fillId="0" borderId="5" xfId="0" applyNumberFormat="1" applyFont="1" applyBorder="1" applyAlignment="1">
      <alignment horizontal="center" vertical="center"/>
    </xf>
    <xf numFmtId="2" fontId="13" fillId="0" borderId="1" xfId="0" applyNumberFormat="1" applyFont="1" applyBorder="1" applyAlignment="1">
      <alignment horizontal="center" vertical="center"/>
    </xf>
    <xf numFmtId="2" fontId="13" fillId="0" borderId="5" xfId="0" applyNumberFormat="1" applyFont="1" applyBorder="1" applyAlignment="1">
      <alignment horizontal="center" vertical="center"/>
    </xf>
    <xf numFmtId="2" fontId="13" fillId="0" borderId="57" xfId="0" applyNumberFormat="1" applyFont="1" applyBorder="1" applyAlignment="1">
      <alignment horizontal="center" vertical="center"/>
    </xf>
    <xf numFmtId="2" fontId="23" fillId="0" borderId="1" xfId="0" applyNumberFormat="1" applyFont="1" applyBorder="1" applyAlignment="1">
      <alignment horizontal="center" vertical="center"/>
    </xf>
    <xf numFmtId="2" fontId="23" fillId="0" borderId="5" xfId="0" applyNumberFormat="1" applyFont="1" applyBorder="1" applyAlignment="1">
      <alignment horizontal="center" vertical="center"/>
    </xf>
    <xf numFmtId="2" fontId="21" fillId="0" borderId="1" xfId="0" applyNumberFormat="1" applyFont="1" applyBorder="1" applyAlignment="1">
      <alignment horizontal="center" vertical="center"/>
    </xf>
    <xf numFmtId="2" fontId="21" fillId="0" borderId="5" xfId="0" applyNumberFormat="1" applyFont="1" applyBorder="1" applyAlignment="1">
      <alignment horizontal="center" vertical="center"/>
    </xf>
    <xf numFmtId="2" fontId="35" fillId="0" borderId="6" xfId="0" applyNumberFormat="1" applyFont="1" applyBorder="1" applyAlignment="1">
      <alignment horizontal="center" vertical="center"/>
    </xf>
    <xf numFmtId="2" fontId="35" fillId="0" borderId="68" xfId="0" applyNumberFormat="1" applyFont="1" applyBorder="1" applyAlignment="1">
      <alignment horizontal="center" vertical="center"/>
    </xf>
    <xf numFmtId="0" fontId="39" fillId="0" borderId="0" xfId="0" applyFont="1" applyBorder="1" applyAlignment="1">
      <alignment horizontal="right" vertical="center"/>
    </xf>
    <xf numFmtId="2" fontId="43" fillId="7" borderId="3" xfId="0" applyNumberFormat="1" applyFont="1" applyFill="1" applyBorder="1" applyAlignment="1">
      <alignment horizontal="center"/>
    </xf>
    <xf numFmtId="2" fontId="43" fillId="7" borderId="6" xfId="0" applyNumberFormat="1" applyFont="1" applyFill="1" applyBorder="1" applyAlignment="1">
      <alignment horizontal="center"/>
    </xf>
    <xf numFmtId="2" fontId="6" fillId="16" borderId="3" xfId="0" applyNumberFormat="1" applyFont="1" applyFill="1" applyBorder="1" applyAlignment="1">
      <alignment horizontal="center"/>
    </xf>
    <xf numFmtId="2" fontId="6" fillId="16" borderId="6" xfId="0" applyNumberFormat="1" applyFont="1" applyFill="1" applyBorder="1" applyAlignment="1">
      <alignment horizontal="center"/>
    </xf>
    <xf numFmtId="2" fontId="6" fillId="3" borderId="3" xfId="0" applyNumberFormat="1" applyFont="1" applyFill="1" applyBorder="1" applyAlignment="1">
      <alignment horizontal="center"/>
    </xf>
    <xf numFmtId="0" fontId="6" fillId="0" borderId="0" xfId="0" applyFont="1" applyBorder="1" applyAlignment="1">
      <alignment horizontal="right" vertical="center"/>
    </xf>
    <xf numFmtId="49" fontId="6" fillId="0" borderId="1" xfId="0" applyNumberFormat="1" applyFont="1" applyFill="1" applyBorder="1" applyAlignment="1">
      <alignment horizontal="center" vertical="center"/>
    </xf>
    <xf numFmtId="2" fontId="35" fillId="0" borderId="34" xfId="0" applyNumberFormat="1" applyFont="1" applyBorder="1" applyAlignment="1">
      <alignment horizontal="center" vertical="center"/>
    </xf>
    <xf numFmtId="2" fontId="38" fillId="0" borderId="18" xfId="0" applyNumberFormat="1" applyFont="1" applyBorder="1" applyAlignment="1">
      <alignment horizontal="center" vertical="center"/>
    </xf>
    <xf numFmtId="2" fontId="56" fillId="0" borderId="51" xfId="0" applyNumberFormat="1" applyFont="1" applyBorder="1" applyAlignment="1">
      <alignment horizontal="center" vertical="center"/>
    </xf>
    <xf numFmtId="2" fontId="13" fillId="0" borderId="51" xfId="0" applyNumberFormat="1" applyFont="1" applyBorder="1" applyAlignment="1">
      <alignment horizontal="center" vertical="center"/>
    </xf>
    <xf numFmtId="2" fontId="23" fillId="0" borderId="51" xfId="0" applyNumberFormat="1" applyFont="1" applyBorder="1" applyAlignment="1">
      <alignment horizontal="center" vertical="center"/>
    </xf>
    <xf numFmtId="2" fontId="21" fillId="0" borderId="51" xfId="0" applyNumberFormat="1" applyFont="1" applyBorder="1" applyAlignment="1">
      <alignment horizontal="center" vertical="center"/>
    </xf>
    <xf numFmtId="2" fontId="38" fillId="0" borderId="70" xfId="0" applyNumberFormat="1" applyFont="1" applyBorder="1" applyAlignment="1">
      <alignment horizontal="center" vertical="center"/>
    </xf>
    <xf numFmtId="1" fontId="0" fillId="0" borderId="0" xfId="0" applyNumberFormat="1"/>
    <xf numFmtId="165" fontId="11" fillId="0" borderId="0" xfId="0" applyNumberFormat="1" applyFont="1" applyAlignment="1">
      <alignment horizontal="center"/>
    </xf>
    <xf numFmtId="2" fontId="11" fillId="0" borderId="0" xfId="0" applyNumberFormat="1" applyFont="1" applyAlignment="1">
      <alignment horizontal="center"/>
    </xf>
    <xf numFmtId="0" fontId="1" fillId="0" borderId="0" xfId="3" applyFont="1"/>
    <xf numFmtId="0" fontId="82" fillId="0" borderId="0" xfId="3" applyFont="1" applyAlignment="1">
      <alignment horizontal="left" indent="1"/>
    </xf>
    <xf numFmtId="2" fontId="0" fillId="0" borderId="0" xfId="0" applyNumberFormat="1" applyFont="1" applyAlignment="1">
      <alignment horizontal="right"/>
    </xf>
    <xf numFmtId="2" fontId="0" fillId="0" borderId="0" xfId="0" applyNumberFormat="1" applyFont="1" applyFill="1" applyBorder="1" applyAlignment="1">
      <alignment horizontal="right"/>
    </xf>
    <xf numFmtId="2" fontId="0" fillId="0" borderId="0" xfId="0" applyNumberFormat="1" applyFont="1" applyAlignment="1"/>
    <xf numFmtId="2" fontId="0" fillId="0" borderId="0" xfId="0" applyNumberFormat="1" applyFont="1" applyFill="1" applyBorder="1" applyAlignment="1"/>
    <xf numFmtId="0" fontId="89" fillId="0" borderId="26" xfId="2" applyFont="1" applyBorder="1" applyAlignment="1">
      <alignment horizontal="center" wrapText="1"/>
    </xf>
    <xf numFmtId="164" fontId="0" fillId="0" borderId="0" xfId="0" applyNumberFormat="1" applyFont="1" applyFill="1" applyBorder="1" applyAlignment="1">
      <alignment horizontal="right"/>
    </xf>
    <xf numFmtId="165" fontId="5" fillId="0" borderId="3" xfId="4" applyNumberFormat="1" applyFont="1" applyFill="1" applyBorder="1" applyAlignment="1">
      <alignment horizontal="center"/>
    </xf>
    <xf numFmtId="164" fontId="5" fillId="0" borderId="3" xfId="4" applyNumberFormat="1" applyFont="1" applyBorder="1" applyAlignment="1">
      <alignment horizontal="center"/>
    </xf>
    <xf numFmtId="164" fontId="9" fillId="0" borderId="3" xfId="4" applyNumberFormat="1" applyFont="1" applyBorder="1" applyAlignment="1">
      <alignment horizontal="center"/>
    </xf>
    <xf numFmtId="165" fontId="5" fillId="0" borderId="1" xfId="4" applyNumberFormat="1" applyFont="1" applyFill="1" applyBorder="1" applyAlignment="1">
      <alignment horizontal="center"/>
    </xf>
    <xf numFmtId="165" fontId="5" fillId="0" borderId="6" xfId="4" applyNumberFormat="1" applyFont="1" applyFill="1" applyBorder="1" applyAlignment="1">
      <alignment horizontal="center"/>
    </xf>
    <xf numFmtId="164" fontId="5" fillId="0" borderId="6" xfId="4" applyNumberFormat="1" applyFont="1" applyBorder="1" applyAlignment="1">
      <alignment horizontal="center"/>
    </xf>
    <xf numFmtId="164" fontId="9" fillId="0" borderId="6" xfId="4" applyNumberFormat="1" applyFont="1" applyBorder="1" applyAlignment="1">
      <alignment horizontal="center"/>
    </xf>
    <xf numFmtId="164" fontId="9" fillId="0" borderId="3" xfId="4" applyNumberFormat="1" applyFont="1" applyFill="1" applyBorder="1" applyAlignment="1">
      <alignment horizontal="center"/>
    </xf>
    <xf numFmtId="164" fontId="9" fillId="0" borderId="6" xfId="4" applyNumberFormat="1" applyFont="1" applyFill="1" applyBorder="1" applyAlignment="1">
      <alignment horizontal="center"/>
    </xf>
    <xf numFmtId="164" fontId="5" fillId="3" borderId="3" xfId="4" applyNumberFormat="1" applyFont="1" applyFill="1" applyBorder="1" applyAlignment="1">
      <alignment horizontal="center"/>
    </xf>
    <xf numFmtId="164" fontId="5" fillId="3" borderId="6" xfId="4" applyNumberFormat="1" applyFont="1" applyFill="1" applyBorder="1" applyAlignment="1">
      <alignment horizontal="center"/>
    </xf>
    <xf numFmtId="0" fontId="10" fillId="7" borderId="0" xfId="2" applyFont="1" applyFill="1" applyAlignment="1">
      <alignment horizontal="left"/>
    </xf>
    <xf numFmtId="0" fontId="5" fillId="0" borderId="0" xfId="2" applyFont="1" applyAlignment="1">
      <alignment horizontal="center"/>
    </xf>
    <xf numFmtId="0" fontId="89" fillId="0" borderId="25" xfId="2" applyFont="1" applyBorder="1" applyAlignment="1">
      <alignment horizontal="center" wrapText="1"/>
    </xf>
    <xf numFmtId="2" fontId="5" fillId="0" borderId="29" xfId="2" applyNumberFormat="1" applyFont="1" applyBorder="1" applyAlignment="1">
      <alignment horizontal="center"/>
    </xf>
    <xf numFmtId="2" fontId="5" fillId="0" borderId="28" xfId="2" applyNumberFormat="1" applyFont="1" applyBorder="1" applyAlignment="1">
      <alignment horizontal="center"/>
    </xf>
    <xf numFmtId="0" fontId="82" fillId="0" borderId="0" xfId="3" applyFont="1" applyAlignment="1">
      <alignment horizontal="left" indent="8"/>
    </xf>
    <xf numFmtId="1" fontId="90" fillId="0" borderId="17" xfId="1" applyNumberFormat="1" applyFont="1" applyFill="1" applyBorder="1" applyAlignment="1" applyProtection="1">
      <alignment horizontal="center"/>
      <protection locked="0"/>
    </xf>
    <xf numFmtId="2" fontId="91" fillId="0" borderId="18" xfId="1" applyNumberFormat="1" applyFont="1" applyFill="1" applyBorder="1" applyAlignment="1" applyProtection="1">
      <alignment horizontal="center"/>
      <protection locked="0"/>
    </xf>
    <xf numFmtId="1" fontId="90" fillId="0" borderId="19" xfId="1" applyNumberFormat="1" applyFont="1" applyFill="1" applyBorder="1" applyAlignment="1" applyProtection="1">
      <alignment horizontal="center"/>
      <protection locked="0"/>
    </xf>
    <xf numFmtId="2" fontId="91" fillId="0" borderId="51" xfId="1" applyNumberFormat="1" applyFont="1" applyFill="1" applyBorder="1" applyAlignment="1" applyProtection="1">
      <alignment horizontal="center"/>
      <protection locked="0"/>
    </xf>
    <xf numFmtId="1" fontId="90" fillId="0" borderId="32" xfId="1" applyNumberFormat="1" applyFont="1" applyFill="1" applyBorder="1" applyAlignment="1" applyProtection="1">
      <alignment horizontal="center"/>
      <protection locked="0"/>
    </xf>
    <xf numFmtId="2" fontId="91" fillId="0" borderId="34" xfId="1" applyNumberFormat="1" applyFont="1" applyFill="1" applyBorder="1" applyAlignment="1" applyProtection="1">
      <alignment horizontal="center"/>
      <protection locked="0"/>
    </xf>
    <xf numFmtId="0" fontId="92" fillId="7" borderId="43" xfId="0" applyFont="1" applyFill="1" applyBorder="1" applyAlignment="1">
      <alignment horizontal="center"/>
    </xf>
    <xf numFmtId="0" fontId="92" fillId="7" borderId="44" xfId="0" applyFont="1" applyFill="1" applyBorder="1" applyAlignment="1">
      <alignment horizontal="center"/>
    </xf>
    <xf numFmtId="0" fontId="92" fillId="7" borderId="45" xfId="0" applyFont="1" applyFill="1" applyBorder="1" applyAlignment="1">
      <alignment horizontal="center"/>
    </xf>
    <xf numFmtId="0" fontId="93" fillId="16" borderId="43" xfId="0" applyFont="1" applyFill="1" applyBorder="1" applyAlignment="1">
      <alignment horizontal="center"/>
    </xf>
    <xf numFmtId="0" fontId="93" fillId="16" borderId="44" xfId="0" applyFont="1" applyFill="1" applyBorder="1" applyAlignment="1">
      <alignment horizontal="center"/>
    </xf>
    <xf numFmtId="0" fontId="93" fillId="16" borderId="45" xfId="0" applyFont="1" applyFill="1" applyBorder="1" applyAlignment="1">
      <alignment horizontal="center"/>
    </xf>
    <xf numFmtId="0" fontId="95" fillId="3" borderId="43" xfId="0" applyFont="1" applyFill="1" applyBorder="1" applyAlignment="1">
      <alignment horizontal="center"/>
    </xf>
    <xf numFmtId="0" fontId="95" fillId="3" borderId="44" xfId="0" applyFont="1" applyFill="1" applyBorder="1" applyAlignment="1">
      <alignment horizontal="center"/>
    </xf>
    <xf numFmtId="0" fontId="95" fillId="3" borderId="45" xfId="0" applyFont="1" applyFill="1" applyBorder="1" applyAlignment="1">
      <alignment horizontal="center"/>
    </xf>
    <xf numFmtId="0" fontId="96" fillId="15" borderId="43" xfId="0" applyFont="1" applyFill="1" applyBorder="1" applyAlignment="1">
      <alignment horizontal="center"/>
    </xf>
    <xf numFmtId="0" fontId="96" fillId="15" borderId="44" xfId="0" applyFont="1" applyFill="1" applyBorder="1" applyAlignment="1">
      <alignment horizontal="center"/>
    </xf>
    <xf numFmtId="0" fontId="96" fillId="15" borderId="45" xfId="0" applyFont="1" applyFill="1" applyBorder="1" applyAlignment="1">
      <alignment horizontal="center"/>
    </xf>
    <xf numFmtId="0" fontId="97" fillId="5" borderId="43" xfId="0" applyFont="1" applyFill="1" applyBorder="1" applyAlignment="1">
      <alignment horizontal="center"/>
    </xf>
    <xf numFmtId="0" fontId="97" fillId="5" borderId="44" xfId="0" applyFont="1" applyFill="1" applyBorder="1" applyAlignment="1">
      <alignment horizontal="center"/>
    </xf>
    <xf numFmtId="0" fontId="97" fillId="5" borderId="45" xfId="0" applyFont="1" applyFill="1" applyBorder="1" applyAlignment="1">
      <alignment horizontal="center"/>
    </xf>
    <xf numFmtId="0" fontId="98" fillId="8" borderId="43" xfId="0" applyFont="1" applyFill="1" applyBorder="1" applyAlignment="1">
      <alignment horizontal="center"/>
    </xf>
    <xf numFmtId="0" fontId="98" fillId="8" borderId="44" xfId="0" applyFont="1" applyFill="1" applyBorder="1" applyAlignment="1">
      <alignment horizontal="center"/>
    </xf>
    <xf numFmtId="0" fontId="98" fillId="8" borderId="45" xfId="0" applyFont="1" applyFill="1" applyBorder="1" applyAlignment="1">
      <alignment horizontal="center"/>
    </xf>
    <xf numFmtId="0" fontId="18" fillId="22" borderId="0" xfId="0" applyFont="1" applyFill="1"/>
    <xf numFmtId="0" fontId="19" fillId="22" borderId="0" xfId="0" applyFont="1" applyFill="1" applyAlignment="1">
      <alignment horizontal="center"/>
    </xf>
    <xf numFmtId="0" fontId="10" fillId="22" borderId="0" xfId="0" applyFont="1" applyFill="1" applyAlignment="1">
      <alignment horizontal="center"/>
    </xf>
    <xf numFmtId="0" fontId="11" fillId="22" borderId="0" xfId="0" applyFont="1" applyFill="1"/>
    <xf numFmtId="2" fontId="10" fillId="22" borderId="0" xfId="0" applyNumberFormat="1" applyFont="1" applyFill="1"/>
    <xf numFmtId="0" fontId="10" fillId="22" borderId="0" xfId="0" applyFont="1" applyFill="1"/>
    <xf numFmtId="0" fontId="11" fillId="22" borderId="0" xfId="0" applyFont="1" applyFill="1" applyBorder="1"/>
    <xf numFmtId="0" fontId="99" fillId="0" borderId="1" xfId="0" applyFont="1" applyFill="1" applyBorder="1" applyAlignment="1">
      <alignment horizontal="center" vertical="center"/>
    </xf>
    <xf numFmtId="0" fontId="37" fillId="0" borderId="0" xfId="0" applyFont="1" applyBorder="1" applyAlignment="1">
      <alignment horizontal="right" vertical="center"/>
    </xf>
    <xf numFmtId="0" fontId="37" fillId="0" borderId="1" xfId="0" applyFont="1" applyFill="1" applyBorder="1" applyAlignment="1">
      <alignment horizontal="center" vertical="center"/>
    </xf>
    <xf numFmtId="0" fontId="4" fillId="22" borderId="0" xfId="1" applyFill="1"/>
    <xf numFmtId="0" fontId="4" fillId="22" borderId="0" xfId="1" applyFill="1" applyProtection="1">
      <protection locked="0"/>
    </xf>
    <xf numFmtId="0" fontId="9" fillId="22" borderId="0" xfId="1" applyFont="1" applyFill="1" applyAlignment="1">
      <alignment horizontal="center"/>
    </xf>
    <xf numFmtId="0" fontId="13" fillId="22" borderId="0" xfId="1" applyFont="1" applyFill="1"/>
    <xf numFmtId="0" fontId="6" fillId="0" borderId="0" xfId="1" applyFont="1" applyAlignment="1">
      <alignment vertical="center"/>
    </xf>
    <xf numFmtId="165" fontId="37" fillId="0" borderId="3" xfId="0" applyNumberFormat="1" applyFont="1" applyBorder="1" applyAlignment="1">
      <alignment horizontal="center"/>
    </xf>
    <xf numFmtId="0" fontId="6" fillId="0" borderId="0" xfId="0" applyFont="1" applyBorder="1" applyAlignment="1">
      <alignment horizontal="right" vertical="center" indent="1"/>
    </xf>
    <xf numFmtId="2" fontId="6" fillId="0" borderId="0" xfId="1" applyNumberFormat="1" applyFont="1" applyAlignment="1">
      <alignment vertical="center"/>
    </xf>
    <xf numFmtId="0" fontId="10" fillId="0" borderId="43" xfId="0" applyFont="1" applyBorder="1" applyAlignment="1">
      <alignment horizontal="center"/>
    </xf>
    <xf numFmtId="0" fontId="6" fillId="0" borderId="71" xfId="0" applyFont="1" applyBorder="1" applyAlignment="1">
      <alignment horizontal="center"/>
    </xf>
    <xf numFmtId="0" fontId="13" fillId="0" borderId="72" xfId="0" applyFont="1" applyBorder="1" applyAlignment="1">
      <alignment horizontal="center"/>
    </xf>
    <xf numFmtId="0" fontId="37" fillId="0" borderId="73" xfId="0" applyFont="1" applyBorder="1" applyAlignment="1">
      <alignment horizontal="center" vertical="center"/>
    </xf>
    <xf numFmtId="0" fontId="55" fillId="0" borderId="74" xfId="0" applyFont="1" applyBorder="1" applyAlignment="1">
      <alignment horizontal="center" vertical="center"/>
    </xf>
    <xf numFmtId="0" fontId="6" fillId="0" borderId="74" xfId="0" applyFont="1" applyBorder="1" applyAlignment="1">
      <alignment horizontal="center" vertical="center"/>
    </xf>
    <xf numFmtId="0" fontId="28" fillId="0" borderId="74" xfId="0" applyFont="1" applyBorder="1" applyAlignment="1">
      <alignment horizontal="center" vertical="center"/>
    </xf>
    <xf numFmtId="0" fontId="29" fillId="0" borderId="74" xfId="0" applyFont="1" applyBorder="1" applyAlignment="1">
      <alignment horizontal="center" vertical="center"/>
    </xf>
    <xf numFmtId="0" fontId="39" fillId="0" borderId="75" xfId="0" applyFont="1" applyBorder="1" applyAlignment="1">
      <alignment horizontal="center" vertical="center"/>
    </xf>
    <xf numFmtId="2" fontId="13" fillId="0" borderId="65" xfId="0" applyNumberFormat="1" applyFont="1" applyBorder="1" applyAlignment="1">
      <alignment horizontal="center" vertical="center"/>
    </xf>
    <xf numFmtId="164" fontId="38" fillId="0" borderId="17" xfId="0" applyNumberFormat="1" applyFont="1" applyFill="1" applyBorder="1" applyAlignment="1">
      <alignment horizontal="center" vertical="center"/>
    </xf>
    <xf numFmtId="164" fontId="38" fillId="0" borderId="3" xfId="0" applyNumberFormat="1" applyFont="1" applyFill="1" applyBorder="1" applyAlignment="1">
      <alignment horizontal="center" vertical="center"/>
    </xf>
    <xf numFmtId="164" fontId="37" fillId="0" borderId="35" xfId="0" applyNumberFormat="1" applyFont="1" applyFill="1" applyBorder="1" applyAlignment="1">
      <alignment horizontal="center" vertical="center"/>
    </xf>
    <xf numFmtId="164" fontId="37" fillId="0" borderId="3" xfId="0" applyNumberFormat="1" applyFont="1" applyBorder="1" applyAlignment="1">
      <alignment horizontal="center" vertical="center"/>
    </xf>
    <xf numFmtId="164" fontId="56" fillId="0" borderId="19" xfId="0" applyNumberFormat="1" applyFont="1" applyFill="1" applyBorder="1" applyAlignment="1">
      <alignment horizontal="center" vertical="center"/>
    </xf>
    <xf numFmtId="164" fontId="56" fillId="0" borderId="1" xfId="0" applyNumberFormat="1" applyFont="1" applyFill="1" applyBorder="1" applyAlignment="1">
      <alignment horizontal="center" vertical="center"/>
    </xf>
    <xf numFmtId="164" fontId="55" fillId="0" borderId="5" xfId="0" applyNumberFormat="1" applyFont="1" applyFill="1" applyBorder="1" applyAlignment="1">
      <alignment horizontal="center" vertical="center"/>
    </xf>
    <xf numFmtId="164" fontId="55" fillId="0" borderId="1" xfId="0" applyNumberFormat="1" applyFont="1" applyBorder="1" applyAlignment="1">
      <alignment horizontal="center" vertical="center"/>
    </xf>
    <xf numFmtId="164" fontId="13" fillId="0" borderId="19"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164" fontId="6" fillId="0" borderId="5" xfId="0" applyNumberFormat="1" applyFont="1" applyFill="1" applyBorder="1" applyAlignment="1">
      <alignment horizontal="center" vertical="center"/>
    </xf>
    <xf numFmtId="164" fontId="6" fillId="0" borderId="1" xfId="0" applyNumberFormat="1" applyFont="1" applyBorder="1" applyAlignment="1">
      <alignment horizontal="center" vertical="center"/>
    </xf>
    <xf numFmtId="164" fontId="23" fillId="0" borderId="19" xfId="0" applyNumberFormat="1" applyFont="1" applyFill="1" applyBorder="1" applyAlignment="1">
      <alignment horizontal="center" vertical="center"/>
    </xf>
    <xf numFmtId="164" fontId="23" fillId="0" borderId="1" xfId="0" applyNumberFormat="1" applyFont="1" applyFill="1" applyBorder="1" applyAlignment="1">
      <alignment horizontal="center" vertical="center"/>
    </xf>
    <xf numFmtId="164" fontId="28" fillId="0" borderId="5" xfId="0" applyNumberFormat="1" applyFont="1" applyFill="1" applyBorder="1" applyAlignment="1">
      <alignment horizontal="center" vertical="center"/>
    </xf>
    <xf numFmtId="164" fontId="28" fillId="0" borderId="1" xfId="0" applyNumberFormat="1" applyFont="1" applyBorder="1" applyAlignment="1">
      <alignment horizontal="center" vertical="center"/>
    </xf>
    <xf numFmtId="164" fontId="21" fillId="0" borderId="19" xfId="0" applyNumberFormat="1" applyFont="1" applyFill="1" applyBorder="1" applyAlignment="1">
      <alignment horizontal="center" vertical="center"/>
    </xf>
    <xf numFmtId="164" fontId="21" fillId="0" borderId="1" xfId="0" applyNumberFormat="1" applyFont="1" applyFill="1" applyBorder="1" applyAlignment="1">
      <alignment horizontal="center" vertical="center"/>
    </xf>
    <xf numFmtId="164" fontId="29" fillId="0" borderId="5" xfId="0" applyNumberFormat="1" applyFont="1" applyFill="1" applyBorder="1" applyAlignment="1">
      <alignment horizontal="center" vertical="center"/>
    </xf>
    <xf numFmtId="164" fontId="29" fillId="0" borderId="1" xfId="0" applyNumberFormat="1" applyFont="1" applyBorder="1" applyAlignment="1">
      <alignment horizontal="center" vertical="center"/>
    </xf>
    <xf numFmtId="164" fontId="35" fillId="0" borderId="32" xfId="0" applyNumberFormat="1" applyFont="1" applyFill="1" applyBorder="1" applyAlignment="1">
      <alignment horizontal="center" vertical="center"/>
    </xf>
    <xf numFmtId="164" fontId="35" fillId="0" borderId="6" xfId="0" applyNumberFormat="1" applyFont="1" applyFill="1" applyBorder="1" applyAlignment="1">
      <alignment horizontal="center" vertical="center"/>
    </xf>
    <xf numFmtId="164" fontId="39" fillId="0" borderId="68" xfId="0" applyNumberFormat="1" applyFont="1" applyFill="1" applyBorder="1" applyAlignment="1">
      <alignment horizontal="center" vertical="center"/>
    </xf>
    <xf numFmtId="164" fontId="39" fillId="0" borderId="6" xfId="0" applyNumberFormat="1" applyFont="1" applyBorder="1" applyAlignment="1">
      <alignment horizontal="center" vertical="center"/>
    </xf>
    <xf numFmtId="167" fontId="38" fillId="0" borderId="18" xfId="0" applyNumberFormat="1" applyFont="1" applyFill="1" applyBorder="1" applyAlignment="1">
      <alignment horizontal="center" vertical="center"/>
    </xf>
    <xf numFmtId="167" fontId="56" fillId="0" borderId="51" xfId="0" applyNumberFormat="1" applyFont="1" applyFill="1" applyBorder="1" applyAlignment="1">
      <alignment horizontal="center" vertical="center"/>
    </xf>
    <xf numFmtId="167" fontId="13" fillId="0" borderId="51" xfId="0" applyNumberFormat="1" applyFont="1" applyFill="1" applyBorder="1" applyAlignment="1">
      <alignment horizontal="center" vertical="center"/>
    </xf>
    <xf numFmtId="167" fontId="23" fillId="0" borderId="51" xfId="0" applyNumberFormat="1" applyFont="1" applyFill="1" applyBorder="1" applyAlignment="1">
      <alignment horizontal="center" vertical="center"/>
    </xf>
    <xf numFmtId="167" fontId="21" fillId="0" borderId="51" xfId="0" applyNumberFormat="1" applyFont="1" applyFill="1" applyBorder="1" applyAlignment="1">
      <alignment horizontal="center" vertical="center"/>
    </xf>
    <xf numFmtId="167" fontId="35" fillId="0" borderId="34" xfId="0" applyNumberFormat="1" applyFont="1" applyFill="1" applyBorder="1" applyAlignment="1">
      <alignment horizontal="center" vertical="center"/>
    </xf>
    <xf numFmtId="2" fontId="36" fillId="0" borderId="67" xfId="0" applyNumberFormat="1" applyFont="1" applyBorder="1" applyAlignment="1">
      <alignment horizontal="center" vertical="center"/>
    </xf>
    <xf numFmtId="2" fontId="6" fillId="19" borderId="31" xfId="0" applyNumberFormat="1" applyFont="1" applyFill="1" applyBorder="1" applyAlignment="1">
      <alignment horizontal="center"/>
    </xf>
    <xf numFmtId="2" fontId="6" fillId="19" borderId="23" xfId="0" applyNumberFormat="1" applyFont="1" applyFill="1" applyBorder="1" applyAlignment="1">
      <alignment horizontal="center"/>
    </xf>
    <xf numFmtId="2" fontId="6" fillId="19" borderId="24" xfId="0" applyNumberFormat="1" applyFont="1" applyFill="1" applyBorder="1" applyAlignment="1">
      <alignment horizontal="center"/>
    </xf>
    <xf numFmtId="2" fontId="12" fillId="19" borderId="53" xfId="0" applyNumberFormat="1" applyFont="1" applyFill="1" applyBorder="1" applyAlignment="1">
      <alignment horizontal="center"/>
    </xf>
    <xf numFmtId="2" fontId="12" fillId="19" borderId="49" xfId="0" applyNumberFormat="1" applyFont="1" applyFill="1" applyBorder="1" applyAlignment="1">
      <alignment horizontal="center"/>
    </xf>
    <xf numFmtId="2" fontId="12" fillId="19" borderId="54" xfId="0" applyNumberFormat="1" applyFont="1" applyFill="1" applyBorder="1" applyAlignment="1">
      <alignment horizontal="center"/>
    </xf>
    <xf numFmtId="2" fontId="6" fillId="23" borderId="35" xfId="0" applyNumberFormat="1" applyFont="1" applyFill="1" applyBorder="1" applyAlignment="1">
      <alignment horizontal="center"/>
    </xf>
    <xf numFmtId="2" fontId="6" fillId="23" borderId="3" xfId="0" applyNumberFormat="1" applyFont="1" applyFill="1" applyBorder="1" applyAlignment="1">
      <alignment horizontal="center"/>
    </xf>
    <xf numFmtId="2" fontId="12" fillId="23" borderId="55" xfId="0" applyNumberFormat="1" applyFont="1" applyFill="1" applyBorder="1" applyAlignment="1">
      <alignment horizontal="center"/>
    </xf>
    <xf numFmtId="2" fontId="12" fillId="23" borderId="49" xfId="0" applyNumberFormat="1" applyFont="1" applyFill="1" applyBorder="1" applyAlignment="1">
      <alignment horizontal="center"/>
    </xf>
    <xf numFmtId="0" fontId="0" fillId="22" borderId="71" xfId="0" applyFill="1" applyBorder="1"/>
    <xf numFmtId="0" fontId="0" fillId="22" borderId="77" xfId="0" applyFill="1" applyBorder="1"/>
    <xf numFmtId="0" fontId="0" fillId="22" borderId="78" xfId="0" applyFill="1" applyBorder="1"/>
    <xf numFmtId="2" fontId="37" fillId="0" borderId="3" xfId="0" applyNumberFormat="1" applyFont="1" applyBorder="1" applyAlignment="1">
      <alignment horizontal="center" vertical="center"/>
    </xf>
    <xf numFmtId="2" fontId="55"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2" fontId="28" fillId="0" borderId="1" xfId="0" applyNumberFormat="1" applyFont="1" applyBorder="1" applyAlignment="1">
      <alignment horizontal="center" vertical="center"/>
    </xf>
    <xf numFmtId="2" fontId="29" fillId="0" borderId="1" xfId="0" applyNumberFormat="1" applyFont="1" applyBorder="1" applyAlignment="1">
      <alignment horizontal="center" vertical="center"/>
    </xf>
    <xf numFmtId="2" fontId="39" fillId="0" borderId="6" xfId="0" applyNumberFormat="1" applyFont="1" applyBorder="1" applyAlignment="1">
      <alignment horizontal="center" vertical="center"/>
    </xf>
    <xf numFmtId="2" fontId="6" fillId="0" borderId="82" xfId="0" applyNumberFormat="1" applyFont="1" applyBorder="1" applyAlignment="1">
      <alignment horizontal="center"/>
    </xf>
    <xf numFmtId="2" fontId="12" fillId="0" borderId="83" xfId="0" applyNumberFormat="1" applyFont="1" applyBorder="1" applyAlignment="1">
      <alignment horizontal="center"/>
    </xf>
    <xf numFmtId="2" fontId="38" fillId="0" borderId="84" xfId="0" applyNumberFormat="1" applyFont="1" applyBorder="1" applyAlignment="1">
      <alignment horizontal="center" vertical="center"/>
    </xf>
    <xf numFmtId="2" fontId="56" fillId="0" borderId="85" xfId="0" applyNumberFormat="1" applyFont="1" applyBorder="1" applyAlignment="1">
      <alignment horizontal="center" vertical="center"/>
    </xf>
    <xf numFmtId="2" fontId="13" fillId="0" borderId="85" xfId="0" applyNumberFormat="1" applyFont="1" applyBorder="1" applyAlignment="1">
      <alignment horizontal="center" vertical="center"/>
    </xf>
    <xf numFmtId="2" fontId="23" fillId="0" borderId="85" xfId="0" applyNumberFormat="1" applyFont="1" applyBorder="1" applyAlignment="1">
      <alignment horizontal="center" vertical="center"/>
    </xf>
    <xf numFmtId="2" fontId="21" fillId="0" borderId="85" xfId="0" applyNumberFormat="1" applyFont="1" applyBorder="1" applyAlignment="1">
      <alignment horizontal="center" vertical="center"/>
    </xf>
    <xf numFmtId="2" fontId="35" fillId="0" borderId="86" xfId="0" applyNumberFormat="1" applyFont="1" applyBorder="1" applyAlignment="1">
      <alignment horizontal="center" vertical="center"/>
    </xf>
    <xf numFmtId="164" fontId="37" fillId="0" borderId="65" xfId="0" applyNumberFormat="1" applyFont="1" applyBorder="1" applyAlignment="1">
      <alignment horizontal="center" vertical="center"/>
    </xf>
    <xf numFmtId="164" fontId="55" fillId="0" borderId="57" xfId="0" applyNumberFormat="1" applyFont="1" applyBorder="1" applyAlignment="1">
      <alignment horizontal="center" vertical="center"/>
    </xf>
    <xf numFmtId="164" fontId="6" fillId="0" borderId="57" xfId="0" applyNumberFormat="1" applyFont="1" applyBorder="1" applyAlignment="1">
      <alignment horizontal="center" vertical="center"/>
    </xf>
    <xf numFmtId="164" fontId="28" fillId="0" borderId="57" xfId="0" applyNumberFormat="1" applyFont="1" applyBorder="1" applyAlignment="1">
      <alignment horizontal="center" vertical="center"/>
    </xf>
    <xf numFmtId="164" fontId="29" fillId="0" borderId="57" xfId="0" applyNumberFormat="1" applyFont="1" applyBorder="1" applyAlignment="1">
      <alignment horizontal="center" vertical="center"/>
    </xf>
    <xf numFmtId="164" fontId="39" fillId="0" borderId="67" xfId="0" applyNumberFormat="1" applyFont="1" applyBorder="1" applyAlignment="1">
      <alignment horizontal="center" vertical="center"/>
    </xf>
    <xf numFmtId="0" fontId="0" fillId="22" borderId="81" xfId="0" applyFill="1" applyBorder="1"/>
    <xf numFmtId="0" fontId="0" fillId="22" borderId="59" xfId="0" applyFill="1" applyBorder="1"/>
    <xf numFmtId="0" fontId="0" fillId="22" borderId="33" xfId="0" applyFill="1" applyBorder="1"/>
    <xf numFmtId="0" fontId="5" fillId="22" borderId="0" xfId="1" applyFont="1" applyFill="1" applyAlignment="1">
      <alignment horizontal="left" vertical="top" wrapText="1"/>
    </xf>
    <xf numFmtId="11" fontId="0" fillId="0" borderId="0" xfId="0" applyNumberFormat="1"/>
    <xf numFmtId="168" fontId="0" fillId="0" borderId="0" xfId="0" applyNumberFormat="1"/>
    <xf numFmtId="0" fontId="7" fillId="5" borderId="0" xfId="1" applyFont="1" applyFill="1" applyAlignment="1">
      <alignment horizontal="left"/>
    </xf>
    <xf numFmtId="0" fontId="15" fillId="5" borderId="0" xfId="1" applyFont="1" applyFill="1"/>
    <xf numFmtId="2" fontId="9" fillId="0" borderId="19" xfId="1" applyNumberFormat="1" applyFont="1" applyFill="1" applyBorder="1" applyAlignment="1" applyProtection="1">
      <alignment horizontal="center"/>
      <protection locked="0"/>
    </xf>
    <xf numFmtId="0" fontId="100" fillId="0" borderId="0" xfId="1" applyFont="1" applyAlignment="1">
      <alignment horizontal="left" indent="2"/>
    </xf>
    <xf numFmtId="0" fontId="102" fillId="2" borderId="13" xfId="1" applyFont="1" applyFill="1" applyBorder="1" applyAlignment="1">
      <alignment horizontal="center"/>
    </xf>
    <xf numFmtId="0" fontId="102" fillId="2" borderId="62" xfId="1" applyFont="1" applyFill="1" applyBorder="1" applyAlignment="1">
      <alignment horizontal="center"/>
    </xf>
    <xf numFmtId="0" fontId="102" fillId="2" borderId="52" xfId="1" applyFont="1" applyFill="1" applyBorder="1" applyAlignment="1">
      <alignment horizontal="center"/>
    </xf>
    <xf numFmtId="0" fontId="102" fillId="2" borderId="15" xfId="1" applyFont="1" applyFill="1" applyBorder="1" applyAlignment="1">
      <alignment horizontal="center"/>
    </xf>
    <xf numFmtId="0" fontId="102" fillId="2" borderId="63" xfId="1" applyFont="1" applyFill="1" applyBorder="1" applyAlignment="1">
      <alignment horizontal="center"/>
    </xf>
    <xf numFmtId="0" fontId="102" fillId="2" borderId="39" xfId="1" applyFont="1" applyFill="1" applyBorder="1" applyAlignment="1">
      <alignment horizontal="center"/>
    </xf>
    <xf numFmtId="1" fontId="101" fillId="0" borderId="17" xfId="1" applyNumberFormat="1" applyFont="1" applyFill="1" applyBorder="1" applyAlignment="1" applyProtection="1">
      <alignment horizontal="center"/>
      <protection locked="0"/>
    </xf>
    <xf numFmtId="2" fontId="100" fillId="0" borderId="58" xfId="1" applyNumberFormat="1" applyFont="1" applyFill="1" applyBorder="1" applyAlignment="1" applyProtection="1">
      <alignment horizontal="center"/>
      <protection locked="0"/>
    </xf>
    <xf numFmtId="164" fontId="100" fillId="3" borderId="18" xfId="1" applyNumberFormat="1" applyFont="1" applyFill="1" applyBorder="1" applyAlignment="1" applyProtection="1">
      <alignment horizontal="center"/>
      <protection locked="0"/>
    </xf>
    <xf numFmtId="1" fontId="101" fillId="0" borderId="19" xfId="1" applyNumberFormat="1" applyFont="1" applyFill="1" applyBorder="1" applyAlignment="1" applyProtection="1">
      <alignment horizontal="center"/>
      <protection locked="0"/>
    </xf>
    <xf numFmtId="2" fontId="100" fillId="0" borderId="4" xfId="1" applyNumberFormat="1" applyFont="1" applyFill="1" applyBorder="1" applyAlignment="1" applyProtection="1">
      <alignment horizontal="center"/>
      <protection locked="0"/>
    </xf>
    <xf numFmtId="164" fontId="100" fillId="3" borderId="51" xfId="1" applyNumberFormat="1" applyFont="1" applyFill="1" applyBorder="1" applyAlignment="1" applyProtection="1">
      <alignment horizontal="center"/>
      <protection locked="0"/>
    </xf>
    <xf numFmtId="2" fontId="101" fillId="0" borderId="32" xfId="1" applyNumberFormat="1" applyFont="1" applyFill="1" applyBorder="1" applyAlignment="1" applyProtection="1">
      <alignment horizontal="center"/>
      <protection locked="0"/>
    </xf>
    <xf numFmtId="2" fontId="100" fillId="0" borderId="64" xfId="1" applyNumberFormat="1" applyFont="1" applyFill="1" applyBorder="1" applyAlignment="1" applyProtection="1">
      <alignment horizontal="center"/>
      <protection locked="0"/>
    </xf>
    <xf numFmtId="164" fontId="100" fillId="3" borderId="34" xfId="1" applyNumberFormat="1" applyFont="1" applyFill="1" applyBorder="1" applyAlignment="1" applyProtection="1">
      <alignment horizontal="center"/>
      <protection locked="0"/>
    </xf>
    <xf numFmtId="2" fontId="101" fillId="0" borderId="17" xfId="1" applyNumberFormat="1" applyFont="1" applyFill="1" applyBorder="1" applyAlignment="1" applyProtection="1">
      <alignment horizontal="center"/>
      <protection locked="0"/>
    </xf>
    <xf numFmtId="2" fontId="100" fillId="3" borderId="58" xfId="1" applyNumberFormat="1" applyFont="1" applyFill="1" applyBorder="1" applyAlignment="1" applyProtection="1">
      <alignment horizontal="center"/>
      <protection locked="0"/>
    </xf>
    <xf numFmtId="1" fontId="101" fillId="0" borderId="20" xfId="1" applyNumberFormat="1" applyFont="1" applyFill="1" applyBorder="1" applyAlignment="1" applyProtection="1">
      <alignment horizontal="center"/>
      <protection locked="0"/>
    </xf>
    <xf numFmtId="2" fontId="100" fillId="3" borderId="59" xfId="1" applyNumberFormat="1" applyFont="1" applyFill="1" applyBorder="1" applyAlignment="1" applyProtection="1">
      <alignment horizontal="center"/>
      <protection locked="0"/>
    </xf>
    <xf numFmtId="164" fontId="100" fillId="3" borderId="22" xfId="1" applyNumberFormat="1" applyFont="1" applyFill="1" applyBorder="1" applyAlignment="1" applyProtection="1">
      <alignment horizontal="center"/>
      <protection locked="0"/>
    </xf>
    <xf numFmtId="2" fontId="104" fillId="0" borderId="3" xfId="1" applyNumberFormat="1" applyFont="1" applyFill="1" applyBorder="1" applyAlignment="1" applyProtection="1">
      <alignment horizontal="center"/>
      <protection locked="0"/>
    </xf>
    <xf numFmtId="164" fontId="104" fillId="0" borderId="18" xfId="1" applyNumberFormat="1" applyFont="1" applyFill="1" applyBorder="1" applyAlignment="1" applyProtection="1">
      <alignment horizontal="center"/>
      <protection locked="0"/>
    </xf>
    <xf numFmtId="2" fontId="104" fillId="0" borderId="1" xfId="1" applyNumberFormat="1" applyFont="1" applyFill="1" applyBorder="1" applyAlignment="1" applyProtection="1">
      <alignment horizontal="center"/>
      <protection locked="0"/>
    </xf>
    <xf numFmtId="2" fontId="104" fillId="0" borderId="6" xfId="1" applyNumberFormat="1" applyFont="1" applyFill="1" applyBorder="1" applyAlignment="1" applyProtection="1">
      <alignment horizontal="center"/>
      <protection locked="0"/>
    </xf>
    <xf numFmtId="164" fontId="104" fillId="0" borderId="34" xfId="1" applyNumberFormat="1" applyFont="1" applyFill="1" applyBorder="1" applyAlignment="1" applyProtection="1">
      <alignment horizontal="center"/>
      <protection locked="0"/>
    </xf>
    <xf numFmtId="2" fontId="13" fillId="0" borderId="19" xfId="0" applyNumberFormat="1" applyFont="1" applyBorder="1" applyAlignment="1">
      <alignment horizontal="center"/>
    </xf>
    <xf numFmtId="2" fontId="13" fillId="0" borderId="1" xfId="0" applyNumberFormat="1" applyFont="1" applyBorder="1" applyAlignment="1">
      <alignment horizontal="center"/>
    </xf>
    <xf numFmtId="2" fontId="23" fillId="0" borderId="1" xfId="0" applyNumberFormat="1" applyFont="1" applyBorder="1" applyAlignment="1">
      <alignment horizontal="center"/>
    </xf>
    <xf numFmtId="2" fontId="21" fillId="0" borderId="51" xfId="0" applyNumberFormat="1" applyFont="1" applyBorder="1" applyAlignment="1">
      <alignment horizontal="center"/>
    </xf>
    <xf numFmtId="2" fontId="13" fillId="0" borderId="5" xfId="0" applyNumberFormat="1" applyFont="1" applyFill="1" applyBorder="1" applyAlignment="1">
      <alignment horizontal="center"/>
    </xf>
    <xf numFmtId="2" fontId="13" fillId="0" borderId="1" xfId="0" applyNumberFormat="1" applyFont="1" applyFill="1" applyBorder="1" applyAlignment="1">
      <alignment horizontal="center"/>
    </xf>
    <xf numFmtId="2" fontId="23" fillId="0" borderId="1" xfId="0" applyNumberFormat="1" applyFont="1" applyFill="1" applyBorder="1" applyAlignment="1">
      <alignment horizontal="center"/>
    </xf>
    <xf numFmtId="2" fontId="21" fillId="0" borderId="51" xfId="0" applyNumberFormat="1" applyFont="1" applyFill="1" applyBorder="1" applyAlignment="1">
      <alignment horizontal="center"/>
    </xf>
    <xf numFmtId="0" fontId="106" fillId="0" borderId="27" xfId="0" applyFont="1" applyFill="1" applyBorder="1" applyAlignment="1">
      <alignment horizontal="right" indent="1"/>
    </xf>
    <xf numFmtId="0" fontId="106" fillId="0" borderId="27" xfId="0" applyFont="1" applyBorder="1" applyAlignment="1">
      <alignment horizontal="center"/>
    </xf>
    <xf numFmtId="0" fontId="106" fillId="0" borderId="30" xfId="0" applyFont="1" applyBorder="1" applyAlignment="1">
      <alignment horizontal="center"/>
    </xf>
    <xf numFmtId="0" fontId="106" fillId="0" borderId="27" xfId="0" applyFont="1" applyBorder="1" applyAlignment="1">
      <alignment horizontal="right" indent="1"/>
    </xf>
    <xf numFmtId="0" fontId="106" fillId="0" borderId="30" xfId="0" applyFont="1" applyFill="1" applyBorder="1" applyAlignment="1">
      <alignment horizontal="right" indent="1"/>
    </xf>
    <xf numFmtId="165" fontId="104" fillId="0" borderId="3" xfId="4" applyNumberFormat="1" applyFont="1" applyFill="1" applyBorder="1" applyAlignment="1">
      <alignment horizontal="center"/>
    </xf>
    <xf numFmtId="165" fontId="104" fillId="0" borderId="1" xfId="4" applyNumberFormat="1" applyFont="1" applyFill="1" applyBorder="1" applyAlignment="1">
      <alignment horizontal="center"/>
    </xf>
    <xf numFmtId="165" fontId="104" fillId="0" borderId="6" xfId="4" applyNumberFormat="1" applyFont="1" applyFill="1" applyBorder="1" applyAlignment="1">
      <alignment horizontal="center"/>
    </xf>
    <xf numFmtId="2" fontId="5" fillId="0" borderId="61" xfId="1" applyNumberFormat="1" applyFont="1" applyFill="1" applyBorder="1" applyAlignment="1" applyProtection="1">
      <alignment horizontal="center"/>
      <protection locked="0"/>
    </xf>
    <xf numFmtId="164" fontId="104" fillId="0" borderId="3" xfId="4" applyNumberFormat="1" applyFont="1" applyFill="1" applyBorder="1" applyAlignment="1">
      <alignment horizontal="center"/>
    </xf>
    <xf numFmtId="164" fontId="104" fillId="0" borderId="6" xfId="4" applyNumberFormat="1" applyFont="1" applyFill="1" applyBorder="1" applyAlignment="1">
      <alignment horizontal="center"/>
    </xf>
    <xf numFmtId="164" fontId="104" fillId="0" borderId="1" xfId="4" applyNumberFormat="1" applyFont="1" applyFill="1" applyBorder="1" applyAlignment="1">
      <alignment horizontal="center"/>
    </xf>
    <xf numFmtId="0" fontId="107" fillId="0" borderId="49" xfId="4" applyFont="1" applyBorder="1" applyAlignment="1">
      <alignment horizontal="center"/>
    </xf>
    <xf numFmtId="0" fontId="82" fillId="0" borderId="0" xfId="3" applyFont="1" applyAlignment="1">
      <alignment horizontal="left" indent="10"/>
    </xf>
    <xf numFmtId="0" fontId="84" fillId="0" borderId="0" xfId="3" applyFont="1" applyAlignment="1">
      <alignment horizontal="left" indent="1"/>
    </xf>
    <xf numFmtId="0" fontId="4" fillId="22" borderId="0" xfId="1" applyFill="1" applyBorder="1"/>
    <xf numFmtId="0" fontId="4" fillId="22" borderId="80" xfId="1" applyFill="1" applyBorder="1"/>
    <xf numFmtId="0" fontId="9" fillId="22" borderId="79" xfId="1" applyFont="1" applyFill="1" applyBorder="1" applyAlignment="1">
      <alignment horizontal="left"/>
    </xf>
    <xf numFmtId="0" fontId="4" fillId="22" borderId="79" xfId="1" applyFill="1" applyBorder="1"/>
    <xf numFmtId="2" fontId="13" fillId="0" borderId="3" xfId="0" applyNumberFormat="1" applyFont="1" applyFill="1" applyBorder="1" applyAlignment="1">
      <alignment horizontal="center"/>
    </xf>
    <xf numFmtId="164" fontId="104" fillId="19" borderId="3" xfId="1" applyNumberFormat="1" applyFont="1" applyFill="1" applyBorder="1" applyAlignment="1" applyProtection="1">
      <alignment horizontal="center"/>
      <protection locked="0"/>
    </xf>
    <xf numFmtId="164" fontId="104" fillId="19" borderId="18" xfId="1" applyNumberFormat="1" applyFont="1" applyFill="1" applyBorder="1" applyAlignment="1" applyProtection="1">
      <alignment horizontal="center"/>
      <protection locked="0"/>
    </xf>
    <xf numFmtId="164" fontId="104" fillId="19" borderId="1" xfId="1" applyNumberFormat="1" applyFont="1" applyFill="1" applyBorder="1" applyAlignment="1" applyProtection="1">
      <alignment horizontal="center"/>
      <protection locked="0"/>
    </xf>
    <xf numFmtId="164" fontId="104" fillId="19" borderId="51" xfId="1" applyNumberFormat="1" applyFont="1" applyFill="1" applyBorder="1" applyAlignment="1" applyProtection="1">
      <alignment horizontal="center"/>
      <protection locked="0"/>
    </xf>
    <xf numFmtId="164" fontId="104" fillId="20" borderId="1" xfId="1" applyNumberFormat="1" applyFont="1" applyFill="1" applyBorder="1" applyAlignment="1" applyProtection="1">
      <alignment horizontal="center"/>
      <protection locked="0"/>
    </xf>
    <xf numFmtId="164" fontId="104" fillId="20" borderId="51" xfId="1" applyNumberFormat="1" applyFont="1" applyFill="1" applyBorder="1" applyAlignment="1" applyProtection="1">
      <alignment horizontal="center"/>
      <protection locked="0"/>
    </xf>
    <xf numFmtId="164" fontId="104" fillId="20" borderId="6" xfId="1" applyNumberFormat="1" applyFont="1" applyFill="1" applyBorder="1" applyAlignment="1" applyProtection="1">
      <alignment horizontal="center"/>
      <protection locked="0"/>
    </xf>
    <xf numFmtId="164" fontId="104" fillId="20" borderId="34" xfId="1" applyNumberFormat="1" applyFont="1" applyFill="1" applyBorder="1" applyAlignment="1" applyProtection="1">
      <alignment horizontal="center"/>
      <protection locked="0"/>
    </xf>
    <xf numFmtId="164" fontId="104" fillId="3" borderId="3" xfId="1" applyNumberFormat="1" applyFont="1" applyFill="1" applyBorder="1" applyAlignment="1" applyProtection="1">
      <alignment horizontal="center"/>
      <protection locked="0"/>
    </xf>
    <xf numFmtId="164" fontId="104" fillId="3" borderId="18" xfId="1" applyNumberFormat="1" applyFont="1" applyFill="1" applyBorder="1" applyAlignment="1" applyProtection="1">
      <alignment horizontal="center"/>
      <protection locked="0"/>
    </xf>
    <xf numFmtId="164" fontId="104" fillId="0" borderId="1" xfId="1" applyNumberFormat="1" applyFont="1" applyFill="1" applyBorder="1" applyAlignment="1" applyProtection="1">
      <alignment horizontal="center"/>
      <protection locked="0"/>
    </xf>
    <xf numFmtId="164" fontId="104" fillId="0" borderId="51" xfId="1" applyNumberFormat="1" applyFont="1" applyFill="1" applyBorder="1" applyAlignment="1" applyProtection="1">
      <alignment horizontal="center"/>
      <protection locked="0"/>
    </xf>
    <xf numFmtId="164" fontId="104" fillId="3" borderId="6" xfId="1" applyNumberFormat="1" applyFont="1" applyFill="1" applyBorder="1" applyAlignment="1" applyProtection="1">
      <alignment horizontal="center"/>
      <protection locked="0"/>
    </xf>
    <xf numFmtId="164" fontId="104" fillId="3" borderId="34" xfId="1" applyNumberFormat="1" applyFont="1" applyFill="1" applyBorder="1" applyAlignment="1" applyProtection="1">
      <alignment horizontal="center"/>
      <protection locked="0"/>
    </xf>
    <xf numFmtId="164" fontId="104" fillId="0" borderId="3" xfId="1" applyNumberFormat="1" applyFont="1" applyFill="1" applyBorder="1" applyAlignment="1" applyProtection="1">
      <alignment horizontal="center"/>
      <protection locked="0"/>
    </xf>
    <xf numFmtId="164" fontId="104" fillId="0" borderId="6" xfId="1" applyNumberFormat="1" applyFont="1" applyFill="1" applyBorder="1" applyAlignment="1" applyProtection="1">
      <alignment horizontal="center"/>
      <protection locked="0"/>
    </xf>
    <xf numFmtId="164" fontId="104" fillId="0" borderId="21" xfId="1" applyNumberFormat="1" applyFont="1" applyFill="1" applyBorder="1" applyAlignment="1" applyProtection="1">
      <alignment horizontal="center"/>
      <protection locked="0"/>
    </xf>
    <xf numFmtId="164" fontId="104" fillId="0" borderId="22" xfId="1" applyNumberFormat="1" applyFont="1" applyFill="1" applyBorder="1" applyAlignment="1" applyProtection="1">
      <alignment horizontal="center"/>
      <protection locked="0"/>
    </xf>
    <xf numFmtId="0" fontId="108" fillId="22" borderId="0" xfId="1" applyFont="1" applyFill="1"/>
    <xf numFmtId="0" fontId="84" fillId="0" borderId="0" xfId="3" applyFont="1" applyAlignment="1">
      <alignment horizontal="left" indent="8"/>
    </xf>
    <xf numFmtId="0" fontId="110" fillId="0" borderId="87" xfId="0" applyFont="1" applyBorder="1" applyAlignment="1">
      <alignment vertical="center" wrapText="1"/>
    </xf>
    <xf numFmtId="0" fontId="110" fillId="0" borderId="88" xfId="0" applyFont="1" applyBorder="1" applyAlignment="1">
      <alignment vertical="center" wrapText="1"/>
    </xf>
    <xf numFmtId="0" fontId="109" fillId="0" borderId="30" xfId="0" applyFont="1" applyBorder="1" applyAlignment="1">
      <alignment vertical="center" wrapText="1"/>
    </xf>
    <xf numFmtId="0" fontId="109" fillId="0" borderId="33" xfId="0" applyFont="1" applyBorder="1" applyAlignment="1">
      <alignment vertical="center" wrapText="1"/>
    </xf>
    <xf numFmtId="0" fontId="109" fillId="0" borderId="89" xfId="0" applyFont="1" applyBorder="1" applyAlignment="1">
      <alignment vertical="center" wrapText="1"/>
    </xf>
    <xf numFmtId="0" fontId="111" fillId="0" borderId="0" xfId="0" applyFont="1" applyBorder="1" applyAlignment="1">
      <alignment vertical="top" wrapText="1"/>
    </xf>
    <xf numFmtId="0" fontId="110" fillId="0" borderId="1" xfId="0" applyFont="1" applyBorder="1" applyAlignment="1">
      <alignment vertical="top" wrapText="1"/>
    </xf>
    <xf numFmtId="0" fontId="110" fillId="0" borderId="1" xfId="0" applyFont="1" applyBorder="1" applyAlignment="1">
      <alignment vertical="center" wrapText="1"/>
    </xf>
    <xf numFmtId="0" fontId="112" fillId="0" borderId="0" xfId="0" applyFont="1"/>
    <xf numFmtId="0" fontId="113" fillId="0" borderId="0" xfId="0" applyFont="1" applyAlignment="1">
      <alignment horizontal="center"/>
    </xf>
    <xf numFmtId="0" fontId="114" fillId="0" borderId="0" xfId="0" applyFont="1" applyAlignment="1">
      <alignment horizontal="center"/>
    </xf>
    <xf numFmtId="0" fontId="109" fillId="0" borderId="25" xfId="0" applyFont="1" applyBorder="1" applyAlignment="1">
      <alignment vertical="center" wrapText="1"/>
    </xf>
    <xf numFmtId="0" fontId="109" fillId="0" borderId="30" xfId="0" applyFont="1" applyBorder="1" applyAlignment="1">
      <alignment vertical="center" wrapText="1"/>
    </xf>
    <xf numFmtId="0" fontId="110" fillId="0" borderId="1" xfId="0" applyFont="1" applyBorder="1" applyAlignment="1">
      <alignment vertical="top" wrapText="1"/>
    </xf>
    <xf numFmtId="166" fontId="64" fillId="12" borderId="0" xfId="1" applyNumberFormat="1" applyFont="1" applyFill="1" applyBorder="1" applyAlignment="1">
      <alignment horizontal="left" vertical="center"/>
    </xf>
    <xf numFmtId="0" fontId="10" fillId="0" borderId="43" xfId="0" applyFont="1" applyBorder="1" applyAlignment="1">
      <alignment horizontal="center"/>
    </xf>
    <xf numFmtId="0" fontId="10" fillId="0" borderId="44" xfId="0" applyFont="1" applyBorder="1" applyAlignment="1">
      <alignment horizontal="center"/>
    </xf>
    <xf numFmtId="0" fontId="10" fillId="0" borderId="45" xfId="0" applyFont="1" applyBorder="1" applyAlignment="1">
      <alignment horizontal="center"/>
    </xf>
    <xf numFmtId="0" fontId="6" fillId="19" borderId="43" xfId="0" applyFont="1" applyFill="1" applyBorder="1" applyAlignment="1">
      <alignment horizontal="center"/>
    </xf>
    <xf numFmtId="0" fontId="6" fillId="19" borderId="44" xfId="0" applyFont="1" applyFill="1" applyBorder="1" applyAlignment="1">
      <alignment horizontal="center"/>
    </xf>
    <xf numFmtId="0" fontId="6" fillId="19" borderId="45" xfId="0" applyFont="1" applyFill="1" applyBorder="1" applyAlignment="1">
      <alignment horizontal="center"/>
    </xf>
    <xf numFmtId="0" fontId="6" fillId="23" borderId="43" xfId="0" applyFont="1" applyFill="1" applyBorder="1" applyAlignment="1">
      <alignment horizontal="center"/>
    </xf>
    <xf numFmtId="0" fontId="6" fillId="23" borderId="44" xfId="0" applyFont="1" applyFill="1" applyBorder="1" applyAlignment="1">
      <alignment horizontal="center"/>
    </xf>
    <xf numFmtId="0" fontId="6" fillId="23" borderId="45" xfId="0" applyFont="1" applyFill="1" applyBorder="1" applyAlignment="1">
      <alignment horizontal="center"/>
    </xf>
    <xf numFmtId="0" fontId="12" fillId="22" borderId="79" xfId="0" applyFont="1" applyFill="1" applyBorder="1" applyAlignment="1">
      <alignment wrapText="1"/>
    </xf>
    <xf numFmtId="0" fontId="12" fillId="22" borderId="0" xfId="0" applyFont="1" applyFill="1" applyBorder="1" applyAlignment="1">
      <alignment wrapText="1"/>
    </xf>
    <xf numFmtId="0" fontId="12" fillId="22" borderId="80" xfId="0" applyFont="1" applyFill="1" applyBorder="1" applyAlignment="1">
      <alignment wrapText="1"/>
    </xf>
    <xf numFmtId="2" fontId="9" fillId="23" borderId="76" xfId="0" applyNumberFormat="1" applyFont="1" applyFill="1" applyBorder="1" applyAlignment="1">
      <alignment horizontal="center" vertical="center" wrapText="1"/>
    </xf>
    <xf numFmtId="2" fontId="9" fillId="23" borderId="39"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xf>
    <xf numFmtId="0" fontId="12" fillId="22" borderId="81" xfId="0" applyFont="1" applyFill="1" applyBorder="1" applyAlignment="1">
      <alignment wrapText="1"/>
    </xf>
    <xf numFmtId="0" fontId="12" fillId="22" borderId="59" xfId="0" applyFont="1" applyFill="1" applyBorder="1" applyAlignment="1">
      <alignment wrapText="1"/>
    </xf>
    <xf numFmtId="0" fontId="12" fillId="22" borderId="33" xfId="0" applyFont="1" applyFill="1" applyBorder="1" applyAlignment="1">
      <alignment wrapText="1"/>
    </xf>
    <xf numFmtId="2" fontId="25" fillId="0" borderId="36" xfId="0" applyNumberFormat="1" applyFont="1" applyBorder="1" applyAlignment="1">
      <alignment horizontal="center"/>
    </xf>
    <xf numFmtId="2" fontId="25" fillId="0" borderId="37" xfId="0" applyNumberFormat="1" applyFont="1" applyBorder="1" applyAlignment="1">
      <alignment horizontal="center"/>
    </xf>
    <xf numFmtId="2" fontId="25" fillId="0" borderId="38" xfId="0" applyNumberFormat="1" applyFont="1" applyBorder="1" applyAlignment="1">
      <alignment horizontal="center"/>
    </xf>
    <xf numFmtId="0" fontId="17" fillId="12" borderId="9" xfId="1" applyFont="1" applyFill="1" applyBorder="1" applyAlignment="1">
      <alignment horizontal="center"/>
    </xf>
    <xf numFmtId="0" fontId="17" fillId="12" borderId="4" xfId="1" applyFont="1" applyFill="1" applyBorder="1" applyAlignment="1">
      <alignment horizontal="center"/>
    </xf>
    <xf numFmtId="0" fontId="17" fillId="12" borderId="5" xfId="1" applyFont="1" applyFill="1" applyBorder="1" applyAlignment="1">
      <alignment horizont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xf>
    <xf numFmtId="164" fontId="25" fillId="0" borderId="36" xfId="0" applyNumberFormat="1" applyFont="1" applyBorder="1" applyAlignment="1">
      <alignment horizontal="center"/>
    </xf>
    <xf numFmtId="164" fontId="25" fillId="0" borderId="37" xfId="0" applyNumberFormat="1" applyFont="1" applyBorder="1" applyAlignment="1">
      <alignment horizontal="center"/>
    </xf>
    <xf numFmtId="164" fontId="25" fillId="0" borderId="38" xfId="0" applyNumberFormat="1" applyFont="1" applyBorder="1" applyAlignment="1">
      <alignment horizontal="center"/>
    </xf>
    <xf numFmtId="0" fontId="25" fillId="0" borderId="36" xfId="0" applyFont="1" applyBorder="1" applyAlignment="1">
      <alignment horizontal="center"/>
    </xf>
    <xf numFmtId="0" fontId="25" fillId="0" borderId="37" xfId="0" applyFont="1" applyBorder="1" applyAlignment="1">
      <alignment horizontal="center"/>
    </xf>
    <xf numFmtId="0" fontId="25" fillId="0" borderId="38" xfId="0" applyFont="1" applyBorder="1" applyAlignment="1">
      <alignment horizontal="center"/>
    </xf>
    <xf numFmtId="0" fontId="66" fillId="0" borderId="43" xfId="2" applyFont="1" applyBorder="1" applyAlignment="1">
      <alignment horizontal="center"/>
    </xf>
    <xf numFmtId="0" fontId="66" fillId="0" borderId="44" xfId="2" applyFont="1" applyBorder="1" applyAlignment="1">
      <alignment horizontal="center"/>
    </xf>
    <xf numFmtId="0" fontId="66" fillId="0" borderId="45" xfId="2" applyFont="1" applyBorder="1" applyAlignment="1">
      <alignment horizontal="center"/>
    </xf>
    <xf numFmtId="0" fontId="71" fillId="0" borderId="31" xfId="2" applyFont="1" applyBorder="1" applyAlignment="1">
      <alignment horizontal="center" wrapText="1"/>
    </xf>
    <xf numFmtId="0" fontId="71" fillId="0" borderId="23" xfId="2" applyFont="1" applyBorder="1" applyAlignment="1">
      <alignment horizontal="center" wrapText="1"/>
    </xf>
    <xf numFmtId="0" fontId="71" fillId="0" borderId="24" xfId="2" applyFont="1" applyBorder="1" applyAlignment="1">
      <alignment horizontal="center" wrapText="1"/>
    </xf>
    <xf numFmtId="0" fontId="89" fillId="0" borderId="43" xfId="2" applyFont="1" applyBorder="1" applyAlignment="1">
      <alignment horizontal="center"/>
    </xf>
    <xf numFmtId="0" fontId="89" fillId="0" borderId="45" xfId="2" applyFont="1" applyBorder="1" applyAlignment="1">
      <alignment horizontal="center"/>
    </xf>
    <xf numFmtId="0" fontId="10" fillId="16" borderId="10" xfId="1" applyFont="1" applyFill="1" applyBorder="1" applyAlignment="1">
      <alignment horizontal="center"/>
    </xf>
    <xf numFmtId="0" fontId="10" fillId="16" borderId="11" xfId="1" applyFont="1" applyFill="1" applyBorder="1" applyAlignment="1">
      <alignment horizontal="center"/>
    </xf>
    <xf numFmtId="0" fontId="10" fillId="16" borderId="12" xfId="1" applyFont="1" applyFill="1" applyBorder="1" applyAlignment="1">
      <alignment horizontal="center"/>
    </xf>
    <xf numFmtId="0" fontId="12" fillId="2" borderId="9" xfId="1" applyFont="1" applyFill="1" applyBorder="1" applyAlignment="1">
      <alignment horizontal="center"/>
    </xf>
    <xf numFmtId="0" fontId="12" fillId="2" borderId="4" xfId="1" applyFont="1" applyFill="1" applyBorder="1" applyAlignment="1">
      <alignment horizontal="center"/>
    </xf>
    <xf numFmtId="0" fontId="12" fillId="2" borderId="57" xfId="1" applyFont="1" applyFill="1" applyBorder="1" applyAlignment="1">
      <alignment horizontal="center"/>
    </xf>
    <xf numFmtId="0" fontId="5" fillId="0" borderId="0" xfId="0" applyFont="1" applyAlignment="1">
      <alignment horizontal="left" vertical="top" indent="1"/>
    </xf>
    <xf numFmtId="0" fontId="5" fillId="3" borderId="0" xfId="4" applyFont="1" applyFill="1" applyAlignment="1">
      <alignment horizontal="left" vertical="top" indent="1"/>
    </xf>
    <xf numFmtId="0" fontId="9" fillId="0" borderId="8" xfId="4" applyFont="1" applyBorder="1" applyAlignment="1">
      <alignment horizontal="center" vertical="center" wrapText="1"/>
    </xf>
    <xf numFmtId="0" fontId="5" fillId="0" borderId="7" xfId="4" applyFont="1" applyBorder="1" applyAlignment="1">
      <alignment horizontal="center" vertical="center"/>
    </xf>
    <xf numFmtId="0" fontId="104" fillId="0" borderId="0" xfId="0" applyFont="1" applyAlignment="1">
      <alignment horizontal="left" vertical="top" wrapText="1" indent="1"/>
    </xf>
    <xf numFmtId="0" fontId="5" fillId="0" borderId="0" xfId="1" applyFont="1" applyFill="1" applyAlignment="1">
      <alignment horizontal="left" vertical="top" wrapText="1" indent="1"/>
    </xf>
    <xf numFmtId="0" fontId="5" fillId="0" borderId="0" xfId="1" applyFont="1" applyAlignment="1">
      <alignment horizontal="left" vertical="top" wrapText="1" indent="1"/>
    </xf>
    <xf numFmtId="0" fontId="86" fillId="0" borderId="1" xfId="4" applyFont="1" applyBorder="1" applyAlignment="1">
      <alignment horizontal="center" vertical="center" wrapText="1"/>
    </xf>
    <xf numFmtId="0" fontId="86" fillId="0" borderId="49" xfId="4" applyFont="1" applyBorder="1" applyAlignment="1">
      <alignment horizontal="center" vertical="center"/>
    </xf>
    <xf numFmtId="0" fontId="86" fillId="0" borderId="1" xfId="4" applyFont="1" applyBorder="1" applyAlignment="1">
      <alignment horizontal="center" vertical="center"/>
    </xf>
    <xf numFmtId="0" fontId="6" fillId="0" borderId="8" xfId="4" applyFont="1" applyBorder="1" applyAlignment="1">
      <alignment horizontal="center" vertical="center" wrapText="1"/>
    </xf>
    <xf numFmtId="0" fontId="5" fillId="22" borderId="81" xfId="1" applyFont="1" applyFill="1" applyBorder="1" applyAlignment="1">
      <alignment horizontal="left" vertical="top" wrapText="1"/>
    </xf>
    <xf numFmtId="0" fontId="5" fillId="22" borderId="59" xfId="1" applyFont="1" applyFill="1" applyBorder="1" applyAlignment="1">
      <alignment horizontal="left" vertical="top" wrapText="1"/>
    </xf>
    <xf numFmtId="0" fontId="5" fillId="22" borderId="33" xfId="1" applyFont="1" applyFill="1" applyBorder="1" applyAlignment="1">
      <alignment horizontal="left" vertical="top" wrapText="1"/>
    </xf>
    <xf numFmtId="0" fontId="5" fillId="3" borderId="79" xfId="1" applyFont="1" applyFill="1" applyBorder="1" applyAlignment="1">
      <alignment horizontal="left"/>
    </xf>
    <xf numFmtId="0" fontId="5" fillId="3" borderId="0" xfId="1" applyFont="1" applyFill="1" applyBorder="1" applyAlignment="1">
      <alignment horizontal="left"/>
    </xf>
    <xf numFmtId="0" fontId="5" fillId="3" borderId="80" xfId="1" applyFont="1" applyFill="1" applyBorder="1" applyAlignment="1">
      <alignment horizontal="left"/>
    </xf>
    <xf numFmtId="0" fontId="5" fillId="22" borderId="79" xfId="1" applyFont="1" applyFill="1" applyBorder="1" applyAlignment="1">
      <alignment horizontal="left" vertical="top" wrapText="1"/>
    </xf>
    <xf numFmtId="0" fontId="5" fillId="22" borderId="0" xfId="1" applyFont="1" applyFill="1" applyBorder="1" applyAlignment="1">
      <alignment horizontal="left" vertical="top" wrapText="1"/>
    </xf>
    <xf numFmtId="0" fontId="5" fillId="22" borderId="80" xfId="1" applyFont="1" applyFill="1" applyBorder="1" applyAlignment="1">
      <alignment horizontal="left" vertical="top" wrapText="1"/>
    </xf>
    <xf numFmtId="0" fontId="17" fillId="8" borderId="10" xfId="1" applyFont="1" applyFill="1" applyBorder="1" applyAlignment="1">
      <alignment horizontal="center"/>
    </xf>
    <xf numFmtId="0" fontId="17" fillId="8" borderId="11" xfId="1" applyFont="1" applyFill="1" applyBorder="1" applyAlignment="1">
      <alignment horizontal="center"/>
    </xf>
    <xf numFmtId="0" fontId="17" fillId="8" borderId="12" xfId="1" applyFont="1" applyFill="1" applyBorder="1" applyAlignment="1">
      <alignment horizontal="center"/>
    </xf>
    <xf numFmtId="0" fontId="104" fillId="22" borderId="79" xfId="1" applyFont="1" applyFill="1" applyBorder="1" applyAlignment="1">
      <alignment horizontal="left" vertical="top" wrapText="1"/>
    </xf>
    <xf numFmtId="0" fontId="104" fillId="22" borderId="0" xfId="1" applyFont="1" applyFill="1" applyBorder="1" applyAlignment="1">
      <alignment horizontal="left" vertical="top" wrapText="1"/>
    </xf>
    <xf numFmtId="0" fontId="104" fillId="22" borderId="80" xfId="1" applyFont="1" applyFill="1" applyBorder="1" applyAlignment="1">
      <alignment horizontal="left" vertical="top" wrapText="1"/>
    </xf>
    <xf numFmtId="0" fontId="19" fillId="3" borderId="10" xfId="1" applyFont="1" applyFill="1" applyBorder="1" applyAlignment="1">
      <alignment horizontal="center"/>
    </xf>
    <xf numFmtId="0" fontId="19" fillId="3" borderId="11" xfId="1" applyFont="1" applyFill="1" applyBorder="1" applyAlignment="1">
      <alignment horizontal="center"/>
    </xf>
    <xf numFmtId="0" fontId="19" fillId="3" borderId="12" xfId="1" applyFont="1" applyFill="1" applyBorder="1" applyAlignment="1">
      <alignment horizontal="center"/>
    </xf>
    <xf numFmtId="0" fontId="17" fillId="15" borderId="10" xfId="1" applyFont="1" applyFill="1" applyBorder="1" applyAlignment="1">
      <alignment horizontal="center"/>
    </xf>
    <xf numFmtId="0" fontId="17" fillId="15" borderId="11" xfId="1" applyFont="1" applyFill="1" applyBorder="1" applyAlignment="1">
      <alignment horizontal="center"/>
    </xf>
    <xf numFmtId="0" fontId="17" fillId="15" borderId="12" xfId="1" applyFont="1" applyFill="1" applyBorder="1" applyAlignment="1">
      <alignment horizontal="center"/>
    </xf>
    <xf numFmtId="0" fontId="17" fillId="5" borderId="10" xfId="1" applyFont="1" applyFill="1" applyBorder="1" applyAlignment="1">
      <alignment horizontal="center"/>
    </xf>
    <xf numFmtId="0" fontId="17" fillId="5" borderId="11" xfId="1" applyFont="1" applyFill="1" applyBorder="1" applyAlignment="1">
      <alignment horizontal="center"/>
    </xf>
    <xf numFmtId="0" fontId="17" fillId="5" borderId="12" xfId="1" applyFont="1" applyFill="1" applyBorder="1" applyAlignment="1">
      <alignment horizontal="center"/>
    </xf>
    <xf numFmtId="0" fontId="17" fillId="7" borderId="10" xfId="1" applyFont="1" applyFill="1" applyBorder="1" applyAlignment="1">
      <alignment horizontal="center"/>
    </xf>
    <xf numFmtId="0" fontId="17" fillId="7" borderId="11" xfId="1" applyFont="1" applyFill="1" applyBorder="1" applyAlignment="1">
      <alignment horizontal="center"/>
    </xf>
    <xf numFmtId="0" fontId="17" fillId="7" borderId="12" xfId="1" applyFont="1" applyFill="1" applyBorder="1" applyAlignment="1">
      <alignment horizontal="center"/>
    </xf>
    <xf numFmtId="0" fontId="19" fillId="17" borderId="10" xfId="1" applyFont="1" applyFill="1" applyBorder="1" applyAlignment="1">
      <alignment horizontal="center"/>
    </xf>
    <xf numFmtId="0" fontId="19" fillId="17" borderId="11" xfId="1" applyFont="1" applyFill="1" applyBorder="1" applyAlignment="1">
      <alignment horizontal="center"/>
    </xf>
    <xf numFmtId="0" fontId="19" fillId="17" borderId="12" xfId="1" applyFont="1" applyFill="1" applyBorder="1" applyAlignment="1">
      <alignment horizontal="center"/>
    </xf>
    <xf numFmtId="0" fontId="104" fillId="22" borderId="0" xfId="1" applyFont="1" applyFill="1"/>
    <xf numFmtId="0" fontId="104" fillId="22" borderId="0" xfId="1" applyFont="1" applyFill="1" applyAlignment="1">
      <alignment horizontal="left"/>
    </xf>
    <xf numFmtId="0" fontId="104" fillId="22" borderId="0" xfId="1" applyFont="1" applyFill="1" applyAlignment="1">
      <alignment horizontal="left" vertical="top" wrapText="1"/>
    </xf>
    <xf numFmtId="0" fontId="103" fillId="6" borderId="77" xfId="1" applyFont="1" applyFill="1" applyBorder="1" applyAlignment="1">
      <alignment horizontal="center"/>
    </xf>
    <xf numFmtId="0" fontId="101" fillId="4" borderId="10" xfId="1" applyFont="1" applyFill="1" applyBorder="1" applyAlignment="1">
      <alignment horizontal="center"/>
    </xf>
    <xf numFmtId="0" fontId="101" fillId="4" borderId="11" xfId="1" applyFont="1" applyFill="1" applyBorder="1" applyAlignment="1">
      <alignment horizontal="center"/>
    </xf>
    <xf numFmtId="0" fontId="101" fillId="4" borderId="12" xfId="1" applyFont="1" applyFill="1" applyBorder="1" applyAlignment="1">
      <alignment horizontal="center"/>
    </xf>
    <xf numFmtId="0" fontId="9" fillId="10" borderId="10" xfId="1" applyFont="1" applyFill="1" applyBorder="1" applyAlignment="1">
      <alignment horizontal="center"/>
    </xf>
    <xf numFmtId="0" fontId="9" fillId="10" borderId="12" xfId="1" applyFont="1" applyFill="1" applyBorder="1" applyAlignment="1">
      <alignment horizontal="center"/>
    </xf>
    <xf numFmtId="0" fontId="8" fillId="9" borderId="10" xfId="1" applyFont="1" applyFill="1" applyBorder="1" applyAlignment="1">
      <alignment horizontal="center"/>
    </xf>
    <xf numFmtId="0" fontId="8" fillId="9" borderId="12" xfId="1" applyFont="1" applyFill="1" applyBorder="1" applyAlignment="1">
      <alignment horizontal="center"/>
    </xf>
    <xf numFmtId="0" fontId="8" fillId="7" borderId="10" xfId="1" applyFont="1" applyFill="1" applyBorder="1" applyAlignment="1">
      <alignment horizontal="center"/>
    </xf>
    <xf numFmtId="0" fontId="8" fillId="7" borderId="12" xfId="1" applyFont="1" applyFill="1" applyBorder="1" applyAlignment="1">
      <alignment horizontal="center"/>
    </xf>
    <xf numFmtId="0" fontId="8" fillId="6" borderId="10" xfId="1" applyFont="1" applyFill="1" applyBorder="1" applyAlignment="1">
      <alignment horizontal="center"/>
    </xf>
    <xf numFmtId="0" fontId="8" fillId="6" borderId="12" xfId="1" applyFont="1" applyFill="1" applyBorder="1" applyAlignment="1">
      <alignment horizontal="center"/>
    </xf>
    <xf numFmtId="0" fontId="8" fillId="5" borderId="10" xfId="1" applyFont="1" applyFill="1" applyBorder="1" applyAlignment="1">
      <alignment horizontal="center"/>
    </xf>
    <xf numFmtId="0" fontId="8" fillId="5" borderId="12" xfId="1" applyFont="1" applyFill="1" applyBorder="1" applyAlignment="1">
      <alignment horizontal="center"/>
    </xf>
    <xf numFmtId="0" fontId="8" fillId="8" borderId="10" xfId="1" applyFont="1" applyFill="1" applyBorder="1" applyAlignment="1">
      <alignment horizontal="center"/>
    </xf>
    <xf numFmtId="0" fontId="8" fillId="8" borderId="12" xfId="1" applyFont="1" applyFill="1" applyBorder="1" applyAlignment="1">
      <alignment horizontal="center"/>
    </xf>
    <xf numFmtId="49" fontId="45" fillId="0" borderId="9" xfId="1" applyNumberFormat="1" applyFont="1" applyFill="1" applyBorder="1" applyAlignment="1">
      <alignment horizontal="center"/>
    </xf>
    <xf numFmtId="49" fontId="45" fillId="0" borderId="57" xfId="1" applyNumberFormat="1" applyFont="1" applyFill="1" applyBorder="1" applyAlignment="1">
      <alignment horizontal="center"/>
    </xf>
  </cellXfs>
  <cellStyles count="5">
    <cellStyle name="Normal" xfId="0" builtinId="0"/>
    <cellStyle name="Normal 2" xfId="1" xr:uid="{00000000-0005-0000-0000-000001000000}"/>
    <cellStyle name="Normal 2 2" xfId="2" xr:uid="{00000000-0005-0000-0000-000002000000}"/>
    <cellStyle name="Normal 3" xfId="3" xr:uid="{00000000-0005-0000-0000-000003000000}"/>
    <cellStyle name="Normal 4" xfId="4" xr:uid="{4382F899-FC68-4AB5-ABA1-977BBD9B3F55}"/>
  </cellStyles>
  <dxfs count="296">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FF0000"/>
      </font>
    </dxf>
    <dxf>
      <font>
        <color rgb="FF00B050"/>
      </font>
    </dxf>
    <dxf>
      <font>
        <color rgb="FF0000FF"/>
      </font>
    </dxf>
    <dxf>
      <font>
        <color rgb="FF00B0F0"/>
      </font>
    </dxf>
    <dxf>
      <font>
        <color rgb="FF7030A0"/>
      </font>
    </dxf>
    <dxf>
      <font>
        <color rgb="FF009900"/>
      </font>
    </dxf>
    <dxf>
      <font>
        <color rgb="FFFF0000"/>
      </font>
    </dxf>
    <dxf>
      <numFmt numFmtId="1" formatCode="0"/>
    </dxf>
    <dxf>
      <numFmt numFmtId="2" formatCode="0.00"/>
    </dxf>
    <dxf>
      <numFmt numFmtId="1" formatCode="0"/>
    </dxf>
    <dxf>
      <numFmt numFmtId="2" formatCode="0.00"/>
    </dxf>
    <dxf>
      <numFmt numFmtId="1" formatCode="0"/>
    </dxf>
    <dxf>
      <numFmt numFmtId="2" formatCode="0.00"/>
    </dxf>
    <dxf>
      <numFmt numFmtId="1" formatCode="0"/>
    </dxf>
    <dxf>
      <numFmt numFmtId="2" formatCode="0.00"/>
    </dxf>
    <dxf>
      <fill>
        <patternFill>
          <bgColor rgb="FFFFFF00"/>
        </patternFill>
      </fill>
    </dxf>
  </dxfs>
  <tableStyles count="0" defaultTableStyle="TableStyleMedium9" defaultPivotStyle="PivotStyleLight16"/>
  <colors>
    <mruColors>
      <color rgb="FF008000"/>
      <color rgb="FF009900"/>
      <color rgb="FF0000FF"/>
      <color rgb="FFCCFF99"/>
      <color rgb="FFFFFFCC"/>
      <color rgb="FFFF9900"/>
      <color rgb="FF006600"/>
      <color rgb="FFFFCC00"/>
      <color rgb="FF00B05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rgbClr val="C00000"/>
                </a:solidFill>
                <a:latin typeface="+mn-lt"/>
                <a:ea typeface="+mn-ea"/>
                <a:cs typeface="+mn-cs"/>
              </a:defRPr>
            </a:pPr>
            <a:r>
              <a:rPr lang="en-US" sz="2000" b="1">
                <a:solidFill>
                  <a:srgbClr val="C00000"/>
                </a:solidFill>
              </a:rPr>
              <a:t>Estimated T</a:t>
            </a:r>
            <a:r>
              <a:rPr lang="en-US" sz="2000" b="1" baseline="-25000">
                <a:solidFill>
                  <a:srgbClr val="C00000"/>
                </a:solidFill>
              </a:rPr>
              <a:t>RX</a:t>
            </a:r>
            <a:r>
              <a:rPr lang="en-US" sz="2000" b="1" baseline="0">
                <a:solidFill>
                  <a:srgbClr val="C00000"/>
                </a:solidFill>
              </a:rPr>
              <a:t> vs Frequency, ngVLA Receiver Bands 1-6</a:t>
            </a:r>
            <a:endParaRPr lang="en-US" sz="2000" b="1">
              <a:solidFill>
                <a:srgbClr val="C00000"/>
              </a:solidFill>
            </a:endParaRPr>
          </a:p>
        </c:rich>
      </c:tx>
      <c:layout>
        <c:manualLayout>
          <c:xMode val="edge"/>
          <c:yMode val="edge"/>
          <c:x val="0.23648718591704698"/>
          <c:y val="2.6775748677341265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rgbClr val="C00000"/>
              </a:solidFill>
              <a:latin typeface="+mn-lt"/>
              <a:ea typeface="+mn-ea"/>
              <a:cs typeface="+mn-cs"/>
            </a:defRPr>
          </a:pPr>
          <a:endParaRPr lang="en-US"/>
        </a:p>
      </c:txPr>
    </c:title>
    <c:autoTitleDeleted val="0"/>
    <c:plotArea>
      <c:layout/>
      <c:scatterChart>
        <c:scatterStyle val="smoothMarker"/>
        <c:varyColors val="0"/>
        <c:ser>
          <c:idx val="0"/>
          <c:order val="0"/>
          <c:tx>
            <c:v>Band 1</c:v>
          </c:tx>
          <c:spPr>
            <a:ln w="19050" cap="rnd">
              <a:solidFill>
                <a:srgbClr val="C00000"/>
              </a:solidFill>
              <a:round/>
            </a:ln>
            <a:effectLst/>
          </c:spPr>
          <c:marker>
            <c:symbol val="circle"/>
            <c:size val="5"/>
            <c:spPr>
              <a:solidFill>
                <a:srgbClr val="C00000"/>
              </a:solidFill>
              <a:ln w="9525">
                <a:solidFill>
                  <a:srgbClr val="C00000"/>
                </a:solidFill>
              </a:ln>
              <a:effectLst/>
            </c:spPr>
          </c:marker>
          <c:xVal>
            <c:numRef>
              <c:f>Summary!$D$11:$D$21</c:f>
              <c:numCache>
                <c:formatCode>0.00</c:formatCode>
                <c:ptCount val="11"/>
                <c:pt idx="0">
                  <c:v>1.2</c:v>
                </c:pt>
                <c:pt idx="1">
                  <c:v>1.32</c:v>
                </c:pt>
                <c:pt idx="2">
                  <c:v>1.49</c:v>
                </c:pt>
                <c:pt idx="3">
                  <c:v>1.65</c:v>
                </c:pt>
                <c:pt idx="4">
                  <c:v>1.84</c:v>
                </c:pt>
                <c:pt idx="5">
                  <c:v>2.0499999999999998</c:v>
                </c:pt>
                <c:pt idx="6">
                  <c:v>2.2799999999999998</c:v>
                </c:pt>
                <c:pt idx="7">
                  <c:v>2.54</c:v>
                </c:pt>
                <c:pt idx="8">
                  <c:v>2.83</c:v>
                </c:pt>
                <c:pt idx="9">
                  <c:v>3.16</c:v>
                </c:pt>
                <c:pt idx="10">
                  <c:v>3.49</c:v>
                </c:pt>
              </c:numCache>
            </c:numRef>
          </c:xVal>
          <c:yVal>
            <c:numRef>
              <c:f>Summary!$F$11:$F$21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0-1E93-4169-9558-8DBC2086514B}"/>
            </c:ext>
          </c:extLst>
        </c:ser>
        <c:ser>
          <c:idx val="1"/>
          <c:order val="1"/>
          <c:tx>
            <c:v>Band 2</c:v>
          </c:tx>
          <c:spPr>
            <a:ln w="19050"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xVal>
            <c:numRef>
              <c:f>Summary!$D$22:$D$32</c:f>
              <c:numCache>
                <c:formatCode>0.00</c:formatCode>
                <c:ptCount val="11"/>
                <c:pt idx="0">
                  <c:v>3.4099999999999997</c:v>
                </c:pt>
                <c:pt idx="1">
                  <c:v>3.88</c:v>
                </c:pt>
                <c:pt idx="2">
                  <c:v>4.4000000000000004</c:v>
                </c:pt>
                <c:pt idx="3">
                  <c:v>5</c:v>
                </c:pt>
                <c:pt idx="4">
                  <c:v>5.7</c:v>
                </c:pt>
                <c:pt idx="5">
                  <c:v>6.45</c:v>
                </c:pt>
                <c:pt idx="6">
                  <c:v>7.35</c:v>
                </c:pt>
                <c:pt idx="7">
                  <c:v>8.35</c:v>
                </c:pt>
                <c:pt idx="8">
                  <c:v>9.5</c:v>
                </c:pt>
                <c:pt idx="9">
                  <c:v>10.8</c:v>
                </c:pt>
                <c:pt idx="10">
                  <c:v>12.290000000000001</c:v>
                </c:pt>
              </c:numCache>
            </c:numRef>
          </c:xVal>
          <c:yVal>
            <c:numRef>
              <c:f>Summary!$F$22:$F$32</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0-870E-4D12-BBBE-2185DB0BAAF0}"/>
            </c:ext>
          </c:extLst>
        </c:ser>
        <c:ser>
          <c:idx val="2"/>
          <c:order val="2"/>
          <c:tx>
            <c:v>Band 3</c:v>
          </c:tx>
          <c:spPr>
            <a:ln w="19050" cap="rnd">
              <a:solidFill>
                <a:schemeClr val="tx1"/>
              </a:solidFill>
              <a:round/>
            </a:ln>
            <a:effectLst/>
          </c:spPr>
          <c:marker>
            <c:symbol val="circle"/>
            <c:size val="5"/>
            <c:spPr>
              <a:solidFill>
                <a:schemeClr val="tx1"/>
              </a:solidFill>
              <a:ln w="9525">
                <a:solidFill>
                  <a:schemeClr val="tx1"/>
                </a:solidFill>
              </a:ln>
              <a:effectLst/>
            </c:spPr>
          </c:marker>
          <c:xVal>
            <c:numRef>
              <c:f>Summary!$D$33:$D$43</c:f>
              <c:numCache>
                <c:formatCode>0.00</c:formatCode>
                <c:ptCount val="11"/>
                <c:pt idx="0">
                  <c:v>12.31</c:v>
                </c:pt>
                <c:pt idx="1">
                  <c:v>12.94</c:v>
                </c:pt>
                <c:pt idx="2">
                  <c:v>13.6</c:v>
                </c:pt>
                <c:pt idx="3">
                  <c:v>14.35</c:v>
                </c:pt>
                <c:pt idx="4">
                  <c:v>15.1</c:v>
                </c:pt>
                <c:pt idx="5">
                  <c:v>15.9</c:v>
                </c:pt>
                <c:pt idx="6">
                  <c:v>16.7</c:v>
                </c:pt>
                <c:pt idx="7">
                  <c:v>17.600000000000001</c:v>
                </c:pt>
                <c:pt idx="8">
                  <c:v>18.5</c:v>
                </c:pt>
                <c:pt idx="9">
                  <c:v>19.5</c:v>
                </c:pt>
                <c:pt idx="10">
                  <c:v>20.5</c:v>
                </c:pt>
              </c:numCache>
            </c:numRef>
          </c:xVal>
          <c:yVal>
            <c:numRef>
              <c:f>Summary!$F$33:$F$43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1-870E-4D12-BBBE-2185DB0BAAF0}"/>
            </c:ext>
          </c:extLst>
        </c:ser>
        <c:ser>
          <c:idx val="3"/>
          <c:order val="3"/>
          <c:tx>
            <c:v>Band 4</c:v>
          </c:tx>
          <c:spPr>
            <a:ln w="19050" cap="rnd">
              <a:solidFill>
                <a:srgbClr val="008000"/>
              </a:solidFill>
              <a:round/>
            </a:ln>
            <a:effectLst/>
          </c:spPr>
          <c:marker>
            <c:symbol val="circle"/>
            <c:size val="5"/>
            <c:spPr>
              <a:solidFill>
                <a:srgbClr val="008000"/>
              </a:solidFill>
              <a:ln w="9525">
                <a:solidFill>
                  <a:srgbClr val="008000"/>
                </a:solidFill>
              </a:ln>
              <a:effectLst/>
            </c:spPr>
          </c:marker>
          <c:xVal>
            <c:numRef>
              <c:f>Summary!$P$11:$P$21</c:f>
              <c:numCache>
                <c:formatCode>0.0</c:formatCode>
                <c:ptCount val="11"/>
                <c:pt idx="0">
                  <c:v>20.5</c:v>
                </c:pt>
                <c:pt idx="1">
                  <c:v>21.6</c:v>
                </c:pt>
                <c:pt idx="2">
                  <c:v>22.7</c:v>
                </c:pt>
                <c:pt idx="3">
                  <c:v>23.9</c:v>
                </c:pt>
                <c:pt idx="4">
                  <c:v>25.1</c:v>
                </c:pt>
                <c:pt idx="5">
                  <c:v>26.4</c:v>
                </c:pt>
                <c:pt idx="6">
                  <c:v>27.8</c:v>
                </c:pt>
                <c:pt idx="7">
                  <c:v>29.2</c:v>
                </c:pt>
                <c:pt idx="8">
                  <c:v>30.7</c:v>
                </c:pt>
                <c:pt idx="9">
                  <c:v>32.4</c:v>
                </c:pt>
                <c:pt idx="10">
                  <c:v>34</c:v>
                </c:pt>
              </c:numCache>
            </c:numRef>
          </c:xVal>
          <c:yVal>
            <c:numRef>
              <c:f>Summary!$R$11:$R$21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2-870E-4D12-BBBE-2185DB0BAAF0}"/>
            </c:ext>
          </c:extLst>
        </c:ser>
        <c:ser>
          <c:idx val="4"/>
          <c:order val="4"/>
          <c:tx>
            <c:v>Band 5</c:v>
          </c:tx>
          <c:spPr>
            <a:ln w="19050" cap="rnd">
              <a:solidFill>
                <a:srgbClr val="0000FF"/>
              </a:solidFill>
              <a:round/>
            </a:ln>
            <a:effectLst/>
          </c:spPr>
          <c:marker>
            <c:symbol val="circle"/>
            <c:size val="5"/>
            <c:spPr>
              <a:solidFill>
                <a:srgbClr val="0000FF"/>
              </a:solidFill>
              <a:ln w="9525">
                <a:solidFill>
                  <a:srgbClr val="0000FF"/>
                </a:solidFill>
              </a:ln>
              <a:effectLst/>
            </c:spPr>
          </c:marker>
          <c:xVal>
            <c:numRef>
              <c:f>Summary!$P$22:$P$32</c:f>
              <c:numCache>
                <c:formatCode>0.0</c:formatCode>
                <c:ptCount val="11"/>
                <c:pt idx="0">
                  <c:v>30.5</c:v>
                </c:pt>
                <c:pt idx="1">
                  <c:v>32</c:v>
                </c:pt>
                <c:pt idx="2">
                  <c:v>33.700000000000003</c:v>
                </c:pt>
                <c:pt idx="3">
                  <c:v>35.5</c:v>
                </c:pt>
                <c:pt idx="4">
                  <c:v>37.299999999999997</c:v>
                </c:pt>
                <c:pt idx="5">
                  <c:v>39.299999999999997</c:v>
                </c:pt>
                <c:pt idx="6">
                  <c:v>41.3</c:v>
                </c:pt>
                <c:pt idx="7">
                  <c:v>43.3</c:v>
                </c:pt>
                <c:pt idx="8">
                  <c:v>45.7</c:v>
                </c:pt>
                <c:pt idx="9">
                  <c:v>48</c:v>
                </c:pt>
                <c:pt idx="10">
                  <c:v>50.5</c:v>
                </c:pt>
              </c:numCache>
            </c:numRef>
          </c:xVal>
          <c:yVal>
            <c:numRef>
              <c:f>Summary!$R$22:$R$32</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3-870E-4D12-BBBE-2185DB0BAAF0}"/>
            </c:ext>
          </c:extLst>
        </c:ser>
        <c:ser>
          <c:idx val="5"/>
          <c:order val="5"/>
          <c:tx>
            <c:v>Band 6</c:v>
          </c:tx>
          <c:spPr>
            <a:ln w="19050" cap="rnd">
              <a:solidFill>
                <a:srgbClr val="7030A0"/>
              </a:solidFill>
              <a:round/>
            </a:ln>
            <a:effectLst/>
          </c:spPr>
          <c:marker>
            <c:symbol val="circle"/>
            <c:size val="5"/>
            <c:spPr>
              <a:solidFill>
                <a:srgbClr val="7030A0"/>
              </a:solidFill>
              <a:ln w="9525">
                <a:solidFill>
                  <a:srgbClr val="7030A0"/>
                </a:solidFill>
              </a:ln>
              <a:effectLst/>
            </c:spPr>
          </c:marker>
          <c:xVal>
            <c:numRef>
              <c:f>Summary!$P$33:$P$43</c:f>
              <c:numCache>
                <c:formatCode>0.0</c:formatCode>
                <c:ptCount val="11"/>
                <c:pt idx="0">
                  <c:v>70</c:v>
                </c:pt>
                <c:pt idx="1">
                  <c:v>73.8</c:v>
                </c:pt>
                <c:pt idx="2">
                  <c:v>77.5</c:v>
                </c:pt>
                <c:pt idx="3">
                  <c:v>81.5</c:v>
                </c:pt>
                <c:pt idx="4">
                  <c:v>85.5</c:v>
                </c:pt>
                <c:pt idx="5">
                  <c:v>90</c:v>
                </c:pt>
                <c:pt idx="6">
                  <c:v>95</c:v>
                </c:pt>
                <c:pt idx="7">
                  <c:v>100</c:v>
                </c:pt>
                <c:pt idx="8">
                  <c:v>105</c:v>
                </c:pt>
                <c:pt idx="9">
                  <c:v>110.6</c:v>
                </c:pt>
                <c:pt idx="10">
                  <c:v>116</c:v>
                </c:pt>
              </c:numCache>
            </c:numRef>
          </c:xVal>
          <c:yVal>
            <c:numRef>
              <c:f>Summary!$R$33:$R$43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4-870E-4D12-BBBE-2185DB0BAAF0}"/>
            </c:ext>
          </c:extLst>
        </c:ser>
        <c:ser>
          <c:idx val="6"/>
          <c:order val="6"/>
          <c:tx>
            <c:v>6*hf/k</c:v>
          </c:tx>
          <c:spPr>
            <a:ln w="19050" cap="rnd">
              <a:solidFill>
                <a:schemeClr val="accent1">
                  <a:lumMod val="60000"/>
                </a:schemeClr>
              </a:solidFill>
              <a:prstDash val="dash"/>
              <a:round/>
            </a:ln>
            <a:effectLst/>
          </c:spPr>
          <c:marker>
            <c:symbol val="none"/>
          </c:marker>
          <c:xVal>
            <c:numRef>
              <c:f>(Summary!$AB$11:$AB$43,Summary!$AE$11:$AE$43)</c:f>
              <c:numCache>
                <c:formatCode>0.00</c:formatCode>
                <c:ptCount val="66"/>
                <c:pt idx="0">
                  <c:v>1.2</c:v>
                </c:pt>
                <c:pt idx="1">
                  <c:v>1.32</c:v>
                </c:pt>
                <c:pt idx="2">
                  <c:v>1.49</c:v>
                </c:pt>
                <c:pt idx="3">
                  <c:v>1.65</c:v>
                </c:pt>
                <c:pt idx="4">
                  <c:v>1.84</c:v>
                </c:pt>
                <c:pt idx="5">
                  <c:v>2.0499999999999998</c:v>
                </c:pt>
                <c:pt idx="6">
                  <c:v>2.2799999999999998</c:v>
                </c:pt>
                <c:pt idx="7">
                  <c:v>2.54</c:v>
                </c:pt>
                <c:pt idx="8">
                  <c:v>2.83</c:v>
                </c:pt>
                <c:pt idx="9">
                  <c:v>3.16</c:v>
                </c:pt>
                <c:pt idx="10">
                  <c:v>3.49</c:v>
                </c:pt>
                <c:pt idx="11">
                  <c:v>3.4099999999999997</c:v>
                </c:pt>
                <c:pt idx="12">
                  <c:v>3.88</c:v>
                </c:pt>
                <c:pt idx="13">
                  <c:v>4.4000000000000004</c:v>
                </c:pt>
                <c:pt idx="14">
                  <c:v>5</c:v>
                </c:pt>
                <c:pt idx="15">
                  <c:v>5.7</c:v>
                </c:pt>
                <c:pt idx="16">
                  <c:v>6.45</c:v>
                </c:pt>
                <c:pt idx="17">
                  <c:v>7.35</c:v>
                </c:pt>
                <c:pt idx="18">
                  <c:v>8.35</c:v>
                </c:pt>
                <c:pt idx="19">
                  <c:v>9.5</c:v>
                </c:pt>
                <c:pt idx="20">
                  <c:v>10.8</c:v>
                </c:pt>
                <c:pt idx="21">
                  <c:v>12.290000000000001</c:v>
                </c:pt>
                <c:pt idx="22">
                  <c:v>12.31</c:v>
                </c:pt>
                <c:pt idx="23">
                  <c:v>12.94</c:v>
                </c:pt>
                <c:pt idx="24">
                  <c:v>13.6</c:v>
                </c:pt>
                <c:pt idx="25">
                  <c:v>14.35</c:v>
                </c:pt>
                <c:pt idx="26">
                  <c:v>15.1</c:v>
                </c:pt>
                <c:pt idx="27">
                  <c:v>15.9</c:v>
                </c:pt>
                <c:pt idx="28">
                  <c:v>16.7</c:v>
                </c:pt>
                <c:pt idx="29">
                  <c:v>17.600000000000001</c:v>
                </c:pt>
                <c:pt idx="30">
                  <c:v>18.5</c:v>
                </c:pt>
                <c:pt idx="31">
                  <c:v>19.5</c:v>
                </c:pt>
                <c:pt idx="32">
                  <c:v>20.5</c:v>
                </c:pt>
                <c:pt idx="33" formatCode="0.0">
                  <c:v>20.5</c:v>
                </c:pt>
                <c:pt idx="34" formatCode="0.0">
                  <c:v>21.6</c:v>
                </c:pt>
                <c:pt idx="35" formatCode="0.0">
                  <c:v>22.7</c:v>
                </c:pt>
                <c:pt idx="36" formatCode="0.0">
                  <c:v>23.9</c:v>
                </c:pt>
                <c:pt idx="37" formatCode="0.0">
                  <c:v>25.1</c:v>
                </c:pt>
                <c:pt idx="38" formatCode="0.0">
                  <c:v>26.4</c:v>
                </c:pt>
                <c:pt idx="39" formatCode="0.0">
                  <c:v>27.8</c:v>
                </c:pt>
                <c:pt idx="40" formatCode="0.0">
                  <c:v>29.2</c:v>
                </c:pt>
                <c:pt idx="41" formatCode="0.0">
                  <c:v>30.7</c:v>
                </c:pt>
                <c:pt idx="42" formatCode="0.0">
                  <c:v>32.4</c:v>
                </c:pt>
                <c:pt idx="43" formatCode="0.0">
                  <c:v>34</c:v>
                </c:pt>
                <c:pt idx="44" formatCode="0.0">
                  <c:v>30.5</c:v>
                </c:pt>
                <c:pt idx="45" formatCode="0.0">
                  <c:v>32</c:v>
                </c:pt>
                <c:pt idx="46" formatCode="0.0">
                  <c:v>33.700000000000003</c:v>
                </c:pt>
                <c:pt idx="47" formatCode="0.0">
                  <c:v>35.5</c:v>
                </c:pt>
                <c:pt idx="48" formatCode="0.0">
                  <c:v>37.299999999999997</c:v>
                </c:pt>
                <c:pt idx="49" formatCode="0.0">
                  <c:v>39.299999999999997</c:v>
                </c:pt>
                <c:pt idx="50" formatCode="0.0">
                  <c:v>41.3</c:v>
                </c:pt>
                <c:pt idx="51" formatCode="0.0">
                  <c:v>43.3</c:v>
                </c:pt>
                <c:pt idx="52" formatCode="0.0">
                  <c:v>45.7</c:v>
                </c:pt>
                <c:pt idx="53" formatCode="0.0">
                  <c:v>48</c:v>
                </c:pt>
                <c:pt idx="54" formatCode="0.0">
                  <c:v>50.5</c:v>
                </c:pt>
                <c:pt idx="55" formatCode="0.0">
                  <c:v>70</c:v>
                </c:pt>
                <c:pt idx="56" formatCode="0.0">
                  <c:v>73.8</c:v>
                </c:pt>
                <c:pt idx="57" formatCode="0.0">
                  <c:v>77.5</c:v>
                </c:pt>
                <c:pt idx="58" formatCode="0.0">
                  <c:v>81.5</c:v>
                </c:pt>
                <c:pt idx="59" formatCode="0.0">
                  <c:v>85.5</c:v>
                </c:pt>
                <c:pt idx="60" formatCode="0.0">
                  <c:v>90</c:v>
                </c:pt>
                <c:pt idx="61" formatCode="0.0">
                  <c:v>95</c:v>
                </c:pt>
                <c:pt idx="62" formatCode="0.0">
                  <c:v>100</c:v>
                </c:pt>
                <c:pt idx="63" formatCode="0.0">
                  <c:v>105</c:v>
                </c:pt>
                <c:pt idx="64" formatCode="0.0">
                  <c:v>110.6</c:v>
                </c:pt>
                <c:pt idx="65" formatCode="0.0">
                  <c:v>116</c:v>
                </c:pt>
              </c:numCache>
            </c:numRef>
          </c:xVal>
          <c:yVal>
            <c:numRef>
              <c:f>(Summary!$AC$11:$AC$43,Summary!$AF$11:$AF$43)</c:f>
              <c:numCache>
                <c:formatCode>0.000</c:formatCode>
                <c:ptCount val="66"/>
                <c:pt idx="0">
                  <c:v>0.34570800000000002</c:v>
                </c:pt>
                <c:pt idx="1">
                  <c:v>0.38027880000000003</c:v>
                </c:pt>
                <c:pt idx="2">
                  <c:v>0.42925410000000003</c:v>
                </c:pt>
                <c:pt idx="3">
                  <c:v>0.47534850000000001</c:v>
                </c:pt>
                <c:pt idx="4">
                  <c:v>0.53008560000000005</c:v>
                </c:pt>
                <c:pt idx="5">
                  <c:v>0.59058449999999996</c:v>
                </c:pt>
                <c:pt idx="6">
                  <c:v>0.65684520000000002</c:v>
                </c:pt>
                <c:pt idx="7">
                  <c:v>0.73174860000000008</c:v>
                </c:pt>
                <c:pt idx="8">
                  <c:v>0.81529470000000004</c:v>
                </c:pt>
                <c:pt idx="9">
                  <c:v>0.91036440000000007</c:v>
                </c:pt>
                <c:pt idx="10">
                  <c:v>1.0054341</c:v>
                </c:pt>
                <c:pt idx="11">
                  <c:v>0.98238689999999984</c:v>
                </c:pt>
                <c:pt idx="12">
                  <c:v>1.1177892</c:v>
                </c:pt>
                <c:pt idx="13">
                  <c:v>1.2675960000000002</c:v>
                </c:pt>
                <c:pt idx="14">
                  <c:v>1.44045</c:v>
                </c:pt>
                <c:pt idx="15">
                  <c:v>1.6421129999999999</c:v>
                </c:pt>
                <c:pt idx="16">
                  <c:v>1.8581805</c:v>
                </c:pt>
                <c:pt idx="17">
                  <c:v>2.1174614999999997</c:v>
                </c:pt>
                <c:pt idx="18">
                  <c:v>2.4055515000000001</c:v>
                </c:pt>
                <c:pt idx="19">
                  <c:v>2.7368549999999998</c:v>
                </c:pt>
                <c:pt idx="20">
                  <c:v>3.1113720000000002</c:v>
                </c:pt>
                <c:pt idx="21">
                  <c:v>3.5406260999999999</c:v>
                </c:pt>
                <c:pt idx="22">
                  <c:v>3.5463879000000005</c:v>
                </c:pt>
                <c:pt idx="23">
                  <c:v>3.7278846000000003</c:v>
                </c:pt>
                <c:pt idx="24">
                  <c:v>3.9180240000000004</c:v>
                </c:pt>
                <c:pt idx="25">
                  <c:v>4.1340915000000003</c:v>
                </c:pt>
                <c:pt idx="26">
                  <c:v>4.3501590000000006</c:v>
                </c:pt>
                <c:pt idx="27">
                  <c:v>4.5806310000000003</c:v>
                </c:pt>
                <c:pt idx="28">
                  <c:v>4.8111030000000001</c:v>
                </c:pt>
                <c:pt idx="29">
                  <c:v>5.0703840000000007</c:v>
                </c:pt>
                <c:pt idx="30">
                  <c:v>5.3296649999999994</c:v>
                </c:pt>
                <c:pt idx="31">
                  <c:v>5.6177549999999998</c:v>
                </c:pt>
                <c:pt idx="32">
                  <c:v>5.9058450000000011</c:v>
                </c:pt>
                <c:pt idx="33">
                  <c:v>5.9058450000000011</c:v>
                </c:pt>
                <c:pt idx="34">
                  <c:v>6.2227440000000005</c:v>
                </c:pt>
                <c:pt idx="35">
                  <c:v>6.539642999999999</c:v>
                </c:pt>
                <c:pt idx="36">
                  <c:v>6.885351</c:v>
                </c:pt>
                <c:pt idx="37">
                  <c:v>7.2310590000000019</c:v>
                </c:pt>
                <c:pt idx="38">
                  <c:v>7.6055760000000001</c:v>
                </c:pt>
                <c:pt idx="39">
                  <c:v>8.0089019999999991</c:v>
                </c:pt>
                <c:pt idx="40">
                  <c:v>8.4122280000000007</c:v>
                </c:pt>
                <c:pt idx="41">
                  <c:v>8.8443629999999995</c:v>
                </c:pt>
                <c:pt idx="42">
                  <c:v>9.3341160000000016</c:v>
                </c:pt>
                <c:pt idx="43">
                  <c:v>9.7950599999999994</c:v>
                </c:pt>
                <c:pt idx="44">
                  <c:v>8.7867449999999998</c:v>
                </c:pt>
                <c:pt idx="45">
                  <c:v>9.2188800000000004</c:v>
                </c:pt>
                <c:pt idx="46">
                  <c:v>9.7086330000000007</c:v>
                </c:pt>
                <c:pt idx="47">
                  <c:v>10.227195000000002</c:v>
                </c:pt>
                <c:pt idx="48">
                  <c:v>10.745756999999999</c:v>
                </c:pt>
                <c:pt idx="49">
                  <c:v>11.321936999999998</c:v>
                </c:pt>
                <c:pt idx="50">
                  <c:v>11.898116999999999</c:v>
                </c:pt>
                <c:pt idx="51">
                  <c:v>12.474296999999998</c:v>
                </c:pt>
                <c:pt idx="52">
                  <c:v>13.165713</c:v>
                </c:pt>
                <c:pt idx="53">
                  <c:v>13.82832</c:v>
                </c:pt>
                <c:pt idx="54">
                  <c:v>14.548545000000003</c:v>
                </c:pt>
                <c:pt idx="55">
                  <c:v>20.1663</c:v>
                </c:pt>
                <c:pt idx="56">
                  <c:v>21.261041999999996</c:v>
                </c:pt>
                <c:pt idx="57">
                  <c:v>22.326975000000001</c:v>
                </c:pt>
                <c:pt idx="58">
                  <c:v>23.479334999999999</c:v>
                </c:pt>
                <c:pt idx="59">
                  <c:v>24.631695000000001</c:v>
                </c:pt>
                <c:pt idx="60">
                  <c:v>25.928100000000001</c:v>
                </c:pt>
                <c:pt idx="61">
                  <c:v>27.368549999999999</c:v>
                </c:pt>
                <c:pt idx="62">
                  <c:v>28.809000000000005</c:v>
                </c:pt>
                <c:pt idx="63">
                  <c:v>30.249450000000003</c:v>
                </c:pt>
                <c:pt idx="64">
                  <c:v>31.862754000000002</c:v>
                </c:pt>
                <c:pt idx="65">
                  <c:v>33.418440000000004</c:v>
                </c:pt>
              </c:numCache>
            </c:numRef>
          </c:yVal>
          <c:smooth val="1"/>
          <c:extLst>
            <c:ext xmlns:c16="http://schemas.microsoft.com/office/drawing/2014/chart" uri="{C3380CC4-5D6E-409C-BE32-E72D297353CC}">
              <c16:uniqueId val="{00000000-97D6-4026-B3DD-109C06FA69E7}"/>
            </c:ext>
          </c:extLst>
        </c:ser>
        <c:dLbls>
          <c:showLegendKey val="0"/>
          <c:showVal val="0"/>
          <c:showCatName val="0"/>
          <c:showSerName val="0"/>
          <c:showPercent val="0"/>
          <c:showBubbleSize val="0"/>
        </c:dLbls>
        <c:axId val="508265136"/>
        <c:axId val="508266448"/>
      </c:scatterChart>
      <c:valAx>
        <c:axId val="508265136"/>
        <c:scaling>
          <c:logBase val="10"/>
          <c:orientation val="minMax"/>
          <c:max val="120"/>
        </c:scaling>
        <c:delete val="0"/>
        <c:axPos val="b"/>
        <c:majorGridlines>
          <c:spPr>
            <a:ln w="9525" cap="flat" cmpd="sng" algn="ctr">
              <a:solidFill>
                <a:schemeClr val="bg1">
                  <a:lumMod val="50000"/>
                </a:schemeClr>
              </a:solidFill>
              <a:round/>
            </a:ln>
            <a:effectLst/>
          </c:spPr>
        </c:majorGridlines>
        <c:minorGridlines>
          <c:spPr>
            <a:ln w="9525" cap="flat" cmpd="sng" algn="ctr">
              <a:solidFill>
                <a:schemeClr val="bg1">
                  <a:lumMod val="75000"/>
                </a:schemeClr>
              </a:solidFill>
              <a:round/>
            </a:ln>
            <a:effectLst/>
          </c:spPr>
        </c:minorGridlines>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n-US" sz="1800" b="1">
                    <a:solidFill>
                      <a:sysClr val="windowText" lastClr="000000"/>
                    </a:solidFill>
                  </a:rPr>
                  <a:t>Frequency,</a:t>
                </a:r>
                <a:r>
                  <a:rPr lang="en-US" sz="1800" b="1" baseline="0">
                    <a:solidFill>
                      <a:sysClr val="windowText" lastClr="000000"/>
                    </a:solidFill>
                  </a:rPr>
                  <a:t> GHz</a:t>
                </a:r>
                <a:endParaRPr lang="en-US" sz="1800" b="1">
                  <a:solidFill>
                    <a:sysClr val="windowText" lastClr="000000"/>
                  </a:solidFill>
                </a:endParaRPr>
              </a:p>
            </c:rich>
          </c:tx>
          <c:layout>
            <c:manualLayout>
              <c:xMode val="edge"/>
              <c:yMode val="edge"/>
              <c:x val="0.44105607743029113"/>
              <c:y val="0.88461538461538458"/>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in"/>
        <c:tickLblPos val="nextTo"/>
        <c:spPr>
          <a:noFill/>
          <a:ln w="9525" cap="flat" cmpd="sng" algn="ctr">
            <a:solidFill>
              <a:schemeClr val="tx1"/>
            </a:solidFill>
            <a:round/>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crossAx val="508266448"/>
        <c:crosses val="autoZero"/>
        <c:crossBetween val="midCat"/>
        <c:majorUnit val="10"/>
        <c:minorUnit val="5"/>
      </c:valAx>
      <c:valAx>
        <c:axId val="508266448"/>
        <c:scaling>
          <c:orientation val="minMax"/>
          <c:max val="7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n-US" sz="1800" b="1">
                    <a:solidFill>
                      <a:sysClr val="windowText" lastClr="000000"/>
                    </a:solidFill>
                  </a:rPr>
                  <a:t>Trx,</a:t>
                </a:r>
                <a:r>
                  <a:rPr lang="en-US" sz="1800" b="1" baseline="0">
                    <a:solidFill>
                      <a:sysClr val="windowText" lastClr="000000"/>
                    </a:solidFill>
                  </a:rPr>
                  <a:t> Kelvin</a:t>
                </a:r>
                <a:endParaRPr lang="en-US" sz="1800" b="1">
                  <a:solidFill>
                    <a:sysClr val="windowText" lastClr="000000"/>
                  </a:solidFill>
                </a:endParaRPr>
              </a:p>
            </c:rich>
          </c:tx>
          <c:layout>
            <c:manualLayout>
              <c:xMode val="edge"/>
              <c:yMode val="edge"/>
              <c:x val="5.4174633524537918E-3"/>
              <c:y val="0.33354066974372748"/>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solidFill>
            <a:round/>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crossAx val="508265136"/>
        <c:crosses val="autoZero"/>
        <c:crossBetween val="midCat"/>
      </c:valAx>
      <c:spPr>
        <a:noFill/>
        <a:ln>
          <a:noFill/>
        </a:ln>
        <a:effectLst/>
      </c:spPr>
    </c:plotArea>
    <c:legend>
      <c:legendPos val="l"/>
      <c:layout>
        <c:manualLayout>
          <c:xMode val="edge"/>
          <c:yMode val="edge"/>
          <c:x val="0.13552749848230305"/>
          <c:y val="0.14697356031859346"/>
          <c:w val="0.11984666215982147"/>
          <c:h val="0.45963497768609679"/>
        </c:manualLayout>
      </c:layout>
      <c:overlay val="1"/>
      <c:spPr>
        <a:solidFill>
          <a:schemeClr val="bg1"/>
        </a:solidFill>
        <a:ln>
          <a:solidFill>
            <a:schemeClr val="tx1"/>
          </a:solid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solidFill>
                  <a:sysClr val="windowText" lastClr="000000"/>
                </a:solidFill>
              </a:rPr>
              <a:t>Tspill vs. Frequency, Elevation Angle</a:t>
            </a:r>
          </a:p>
          <a:p>
            <a:pPr>
              <a:defRPr b="1"/>
            </a:pPr>
            <a:r>
              <a:rPr lang="en-US" sz="1200" b="1" baseline="0">
                <a:solidFill>
                  <a:srgbClr val="FF0000"/>
                </a:solidFill>
              </a:rPr>
              <a:t>EMSS Band 4 Feed (2020)</a:t>
            </a:r>
            <a:endParaRPr lang="en-US" sz="1200" b="1">
              <a:solidFill>
                <a:srgbClr val="FF0000"/>
              </a:solidFill>
            </a:endParaRPr>
          </a:p>
        </c:rich>
      </c:tx>
      <c:layout>
        <c:manualLayout>
          <c:xMode val="edge"/>
          <c:yMode val="edge"/>
          <c:x val="0.26094385662729652"/>
          <c:y val="4.745762711864406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15 Deg</c:v>
          </c:tx>
          <c:spPr>
            <a:ln w="25400" cap="rnd">
              <a:solidFill>
                <a:srgbClr val="0070C0"/>
              </a:solidFill>
              <a:round/>
            </a:ln>
            <a:effectLst/>
          </c:spPr>
          <c:marker>
            <c:symbol val="none"/>
          </c:marker>
          <c:xVal>
            <c:numRef>
              <c:f>Antenna!$A$35:$A$44</c:f>
              <c:numCache>
                <c:formatCode>0.0</c:formatCode>
                <c:ptCount val="10"/>
                <c:pt idx="0">
                  <c:v>20.5</c:v>
                </c:pt>
                <c:pt idx="1">
                  <c:v>21.5</c:v>
                </c:pt>
                <c:pt idx="2">
                  <c:v>22.5</c:v>
                </c:pt>
                <c:pt idx="3">
                  <c:v>24</c:v>
                </c:pt>
                <c:pt idx="4">
                  <c:v>25</c:v>
                </c:pt>
                <c:pt idx="5">
                  <c:v>26.4</c:v>
                </c:pt>
                <c:pt idx="6">
                  <c:v>28</c:v>
                </c:pt>
                <c:pt idx="7">
                  <c:v>30</c:v>
                </c:pt>
                <c:pt idx="8">
                  <c:v>32</c:v>
                </c:pt>
                <c:pt idx="9">
                  <c:v>34</c:v>
                </c:pt>
              </c:numCache>
            </c:numRef>
          </c:xVal>
          <c:yVal>
            <c:numRef>
              <c:f>Antenna!$C$35:$C$44</c:f>
              <c:numCache>
                <c:formatCode>0.0</c:formatCode>
                <c:ptCount val="10"/>
                <c:pt idx="0">
                  <c:v>0.29449999999999932</c:v>
                </c:pt>
                <c:pt idx="1">
                  <c:v>7.8699999999997772E-2</c:v>
                </c:pt>
                <c:pt idx="2">
                  <c:v>-1.8900000000002137E-2</c:v>
                </c:pt>
                <c:pt idx="3">
                  <c:v>0.17139999999999844</c:v>
                </c:pt>
                <c:pt idx="4">
                  <c:v>0.24230000000000018</c:v>
                </c:pt>
                <c:pt idx="5">
                  <c:v>0.25489999999999924</c:v>
                </c:pt>
                <c:pt idx="6">
                  <c:v>0.26719999999999899</c:v>
                </c:pt>
                <c:pt idx="7">
                  <c:v>0.27799999999999869</c:v>
                </c:pt>
                <c:pt idx="8">
                  <c:v>0.27789999999999893</c:v>
                </c:pt>
                <c:pt idx="9">
                  <c:v>0.1988999999999983</c:v>
                </c:pt>
              </c:numCache>
            </c:numRef>
          </c:yVal>
          <c:smooth val="1"/>
          <c:extLst>
            <c:ext xmlns:c16="http://schemas.microsoft.com/office/drawing/2014/chart" uri="{C3380CC4-5D6E-409C-BE32-E72D297353CC}">
              <c16:uniqueId val="{00000000-44C4-4206-AE7B-D1F6B287F3FC}"/>
            </c:ext>
          </c:extLst>
        </c:ser>
        <c:ser>
          <c:idx val="1"/>
          <c:order val="1"/>
          <c:tx>
            <c:v>30 Deg</c:v>
          </c:tx>
          <c:spPr>
            <a:ln w="25400" cap="rnd">
              <a:solidFill>
                <a:schemeClr val="accent2"/>
              </a:solidFill>
              <a:round/>
            </a:ln>
            <a:effectLst/>
          </c:spPr>
          <c:marker>
            <c:symbol val="none"/>
          </c:marker>
          <c:xVal>
            <c:numRef>
              <c:f>Antenna!$A$35:$A$44</c:f>
              <c:numCache>
                <c:formatCode>0.0</c:formatCode>
                <c:ptCount val="10"/>
                <c:pt idx="0">
                  <c:v>20.5</c:v>
                </c:pt>
                <c:pt idx="1">
                  <c:v>21.5</c:v>
                </c:pt>
                <c:pt idx="2">
                  <c:v>22.5</c:v>
                </c:pt>
                <c:pt idx="3">
                  <c:v>24</c:v>
                </c:pt>
                <c:pt idx="4">
                  <c:v>25</c:v>
                </c:pt>
                <c:pt idx="5">
                  <c:v>26.4</c:v>
                </c:pt>
                <c:pt idx="6">
                  <c:v>28</c:v>
                </c:pt>
                <c:pt idx="7">
                  <c:v>30</c:v>
                </c:pt>
                <c:pt idx="8">
                  <c:v>32</c:v>
                </c:pt>
                <c:pt idx="9">
                  <c:v>34</c:v>
                </c:pt>
              </c:numCache>
            </c:numRef>
          </c:xVal>
          <c:yVal>
            <c:numRef>
              <c:f>Antenna!$F$35:$F$44</c:f>
              <c:numCache>
                <c:formatCode>0.0</c:formatCode>
                <c:ptCount val="10"/>
                <c:pt idx="0">
                  <c:v>0.81159999999999854</c:v>
                </c:pt>
                <c:pt idx="1">
                  <c:v>0.73410000000000153</c:v>
                </c:pt>
                <c:pt idx="2">
                  <c:v>0.68709999999999738</c:v>
                </c:pt>
                <c:pt idx="3">
                  <c:v>0.67590000000000217</c:v>
                </c:pt>
                <c:pt idx="4">
                  <c:v>0.65920000000000201</c:v>
                </c:pt>
                <c:pt idx="5">
                  <c:v>0.61530000000000129</c:v>
                </c:pt>
                <c:pt idx="6">
                  <c:v>0.59750000000000014</c:v>
                </c:pt>
                <c:pt idx="7">
                  <c:v>0.60500000000000043</c:v>
                </c:pt>
                <c:pt idx="8">
                  <c:v>0.61560000000000059</c:v>
                </c:pt>
                <c:pt idx="9">
                  <c:v>0.54250000000000043</c:v>
                </c:pt>
              </c:numCache>
            </c:numRef>
          </c:yVal>
          <c:smooth val="1"/>
          <c:extLst>
            <c:ext xmlns:c16="http://schemas.microsoft.com/office/drawing/2014/chart" uri="{C3380CC4-5D6E-409C-BE32-E72D297353CC}">
              <c16:uniqueId val="{00000001-44C4-4206-AE7B-D1F6B287F3FC}"/>
            </c:ext>
          </c:extLst>
        </c:ser>
        <c:ser>
          <c:idx val="2"/>
          <c:order val="2"/>
          <c:tx>
            <c:v>45 Deg</c:v>
          </c:tx>
          <c:spPr>
            <a:ln w="25400" cap="rnd">
              <a:solidFill>
                <a:schemeClr val="accent3"/>
              </a:solidFill>
              <a:round/>
            </a:ln>
            <a:effectLst/>
          </c:spPr>
          <c:marker>
            <c:symbol val="none"/>
          </c:marker>
          <c:xVal>
            <c:numRef>
              <c:f>Antenna!$A$35:$A$44</c:f>
              <c:numCache>
                <c:formatCode>0.0</c:formatCode>
                <c:ptCount val="10"/>
                <c:pt idx="0">
                  <c:v>20.5</c:v>
                </c:pt>
                <c:pt idx="1">
                  <c:v>21.5</c:v>
                </c:pt>
                <c:pt idx="2">
                  <c:v>22.5</c:v>
                </c:pt>
                <c:pt idx="3">
                  <c:v>24</c:v>
                </c:pt>
                <c:pt idx="4">
                  <c:v>25</c:v>
                </c:pt>
                <c:pt idx="5">
                  <c:v>26.4</c:v>
                </c:pt>
                <c:pt idx="6">
                  <c:v>28</c:v>
                </c:pt>
                <c:pt idx="7">
                  <c:v>30</c:v>
                </c:pt>
                <c:pt idx="8">
                  <c:v>32</c:v>
                </c:pt>
                <c:pt idx="9">
                  <c:v>34</c:v>
                </c:pt>
              </c:numCache>
            </c:numRef>
          </c:xVal>
          <c:yVal>
            <c:numRef>
              <c:f>Antenna!$I$35:$I$44</c:f>
              <c:numCache>
                <c:formatCode>0.0</c:formatCode>
                <c:ptCount val="10"/>
                <c:pt idx="0">
                  <c:v>1.0698000000000008</c:v>
                </c:pt>
                <c:pt idx="1">
                  <c:v>1.0399000000000029</c:v>
                </c:pt>
                <c:pt idx="2">
                  <c:v>1.0091999999999999</c:v>
                </c:pt>
                <c:pt idx="3">
                  <c:v>0.92340000000000089</c:v>
                </c:pt>
                <c:pt idx="4">
                  <c:v>0.87229999999999919</c:v>
                </c:pt>
                <c:pt idx="5">
                  <c:v>0.80339999999999989</c:v>
                </c:pt>
                <c:pt idx="6">
                  <c:v>0.77129999999999832</c:v>
                </c:pt>
                <c:pt idx="7">
                  <c:v>0.77630000000000088</c:v>
                </c:pt>
                <c:pt idx="8">
                  <c:v>0.79100000000000037</c:v>
                </c:pt>
                <c:pt idx="9">
                  <c:v>0.71759999999999913</c:v>
                </c:pt>
              </c:numCache>
            </c:numRef>
          </c:yVal>
          <c:smooth val="1"/>
          <c:extLst>
            <c:ext xmlns:c16="http://schemas.microsoft.com/office/drawing/2014/chart" uri="{C3380CC4-5D6E-409C-BE32-E72D297353CC}">
              <c16:uniqueId val="{00000002-44C4-4206-AE7B-D1F6B287F3FC}"/>
            </c:ext>
          </c:extLst>
        </c:ser>
        <c:ser>
          <c:idx val="3"/>
          <c:order val="3"/>
          <c:tx>
            <c:v>60 Deg</c:v>
          </c:tx>
          <c:spPr>
            <a:ln w="25400" cap="rnd">
              <a:solidFill>
                <a:schemeClr val="accent4"/>
              </a:solidFill>
              <a:round/>
            </a:ln>
            <a:effectLst/>
          </c:spPr>
          <c:marker>
            <c:symbol val="none"/>
          </c:marker>
          <c:xVal>
            <c:numRef>
              <c:f>Antenna!$A$35:$A$44</c:f>
              <c:numCache>
                <c:formatCode>0.0</c:formatCode>
                <c:ptCount val="10"/>
                <c:pt idx="0">
                  <c:v>20.5</c:v>
                </c:pt>
                <c:pt idx="1">
                  <c:v>21.5</c:v>
                </c:pt>
                <c:pt idx="2">
                  <c:v>22.5</c:v>
                </c:pt>
                <c:pt idx="3">
                  <c:v>24</c:v>
                </c:pt>
                <c:pt idx="4">
                  <c:v>25</c:v>
                </c:pt>
                <c:pt idx="5">
                  <c:v>26.4</c:v>
                </c:pt>
                <c:pt idx="6">
                  <c:v>28</c:v>
                </c:pt>
                <c:pt idx="7">
                  <c:v>30</c:v>
                </c:pt>
                <c:pt idx="8">
                  <c:v>32</c:v>
                </c:pt>
                <c:pt idx="9">
                  <c:v>34</c:v>
                </c:pt>
              </c:numCache>
            </c:numRef>
          </c:xVal>
          <c:yVal>
            <c:numRef>
              <c:f>Antenna!$L$35:$L$44</c:f>
              <c:numCache>
                <c:formatCode>0.0</c:formatCode>
                <c:ptCount val="10"/>
                <c:pt idx="0">
                  <c:v>1.3104999999999993</c:v>
                </c:pt>
                <c:pt idx="1">
                  <c:v>1.3322000000000003</c:v>
                </c:pt>
                <c:pt idx="2">
                  <c:v>1.3212999999999973</c:v>
                </c:pt>
                <c:pt idx="3">
                  <c:v>1.158100000000001</c:v>
                </c:pt>
                <c:pt idx="4">
                  <c:v>1.0686</c:v>
                </c:pt>
                <c:pt idx="5">
                  <c:v>0.97029999999999994</c:v>
                </c:pt>
                <c:pt idx="6">
                  <c:v>0.92220000000000013</c:v>
                </c:pt>
                <c:pt idx="7">
                  <c:v>0.92379999999999995</c:v>
                </c:pt>
                <c:pt idx="8">
                  <c:v>0.93839999999999968</c:v>
                </c:pt>
                <c:pt idx="9">
                  <c:v>0.86490000000000045</c:v>
                </c:pt>
              </c:numCache>
            </c:numRef>
          </c:yVal>
          <c:smooth val="1"/>
          <c:extLst>
            <c:ext xmlns:c16="http://schemas.microsoft.com/office/drawing/2014/chart" uri="{C3380CC4-5D6E-409C-BE32-E72D297353CC}">
              <c16:uniqueId val="{00000003-44C4-4206-AE7B-D1F6B287F3FC}"/>
            </c:ext>
          </c:extLst>
        </c:ser>
        <c:ser>
          <c:idx val="4"/>
          <c:order val="4"/>
          <c:tx>
            <c:v>90 Deg</c:v>
          </c:tx>
          <c:spPr>
            <a:ln w="25400" cap="rnd">
              <a:solidFill>
                <a:schemeClr val="accent5"/>
              </a:solidFill>
              <a:round/>
            </a:ln>
            <a:effectLst/>
          </c:spPr>
          <c:marker>
            <c:symbol val="none"/>
          </c:marker>
          <c:xVal>
            <c:numRef>
              <c:f>Antenna!$A$35:$A$44</c:f>
              <c:numCache>
                <c:formatCode>0.0</c:formatCode>
                <c:ptCount val="10"/>
                <c:pt idx="0">
                  <c:v>20.5</c:v>
                </c:pt>
                <c:pt idx="1">
                  <c:v>21.5</c:v>
                </c:pt>
                <c:pt idx="2">
                  <c:v>22.5</c:v>
                </c:pt>
                <c:pt idx="3">
                  <c:v>24</c:v>
                </c:pt>
                <c:pt idx="4">
                  <c:v>25</c:v>
                </c:pt>
                <c:pt idx="5">
                  <c:v>26.4</c:v>
                </c:pt>
                <c:pt idx="6">
                  <c:v>28</c:v>
                </c:pt>
                <c:pt idx="7">
                  <c:v>30</c:v>
                </c:pt>
                <c:pt idx="8">
                  <c:v>32</c:v>
                </c:pt>
                <c:pt idx="9">
                  <c:v>34</c:v>
                </c:pt>
              </c:numCache>
            </c:numRef>
          </c:xVal>
          <c:yVal>
            <c:numRef>
              <c:f>Antenna!$R$35:$R$44</c:f>
              <c:numCache>
                <c:formatCode>0.0</c:formatCode>
                <c:ptCount val="10"/>
                <c:pt idx="0">
                  <c:v>2.9984999999999999</c:v>
                </c:pt>
                <c:pt idx="1">
                  <c:v>3.1955000000000009</c:v>
                </c:pt>
                <c:pt idx="2">
                  <c:v>3.190100000000001</c:v>
                </c:pt>
                <c:pt idx="3">
                  <c:v>2.7158999999999995</c:v>
                </c:pt>
                <c:pt idx="4">
                  <c:v>2.4244000000000003</c:v>
                </c:pt>
                <c:pt idx="5">
                  <c:v>2.1319999999999997</c:v>
                </c:pt>
                <c:pt idx="6">
                  <c:v>1.9777000000000005</c:v>
                </c:pt>
                <c:pt idx="7">
                  <c:v>1.9550000000000001</c:v>
                </c:pt>
                <c:pt idx="8">
                  <c:v>1.9299999999999997</c:v>
                </c:pt>
                <c:pt idx="9">
                  <c:v>1.8217999999999996</c:v>
                </c:pt>
              </c:numCache>
            </c:numRef>
          </c:yVal>
          <c:smooth val="1"/>
          <c:extLst>
            <c:ext xmlns:c16="http://schemas.microsoft.com/office/drawing/2014/chart" uri="{C3380CC4-5D6E-409C-BE32-E72D297353CC}">
              <c16:uniqueId val="{00000004-44C4-4206-AE7B-D1F6B287F3FC}"/>
            </c:ext>
          </c:extLst>
        </c:ser>
        <c:dLbls>
          <c:showLegendKey val="0"/>
          <c:showVal val="0"/>
          <c:showCatName val="0"/>
          <c:showSerName val="0"/>
          <c:showPercent val="0"/>
          <c:showBubbleSize val="0"/>
        </c:dLbls>
        <c:axId val="457265616"/>
        <c:axId val="457262336"/>
      </c:scatterChart>
      <c:valAx>
        <c:axId val="457265616"/>
        <c:scaling>
          <c:orientation val="minMax"/>
          <c:max val="34"/>
          <c:min val="20"/>
        </c:scaling>
        <c:delete val="0"/>
        <c:axPos val="b"/>
        <c:majorGridlines>
          <c:spPr>
            <a:ln w="9525" cap="flat" cmpd="sng" algn="ctr">
              <a:solidFill>
                <a:schemeClr val="tx1"/>
              </a:solidFill>
              <a:round/>
            </a:ln>
            <a:effectLst/>
          </c:spPr>
        </c:majorGridlines>
        <c:title>
          <c:tx>
            <c:rich>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200" b="1">
                    <a:solidFill>
                      <a:schemeClr val="tx1"/>
                    </a:solidFill>
                  </a:rPr>
                  <a:t>Frequency</a:t>
                </a:r>
                <a:r>
                  <a:rPr lang="en-US" sz="1200" b="1" baseline="0">
                    <a:solidFill>
                      <a:schemeClr val="tx1"/>
                    </a:solidFill>
                  </a:rPr>
                  <a:t> (</a:t>
                </a:r>
                <a:r>
                  <a:rPr lang="en-US" sz="1200" b="1">
                    <a:solidFill>
                      <a:schemeClr val="tx1"/>
                    </a:solidFill>
                  </a:rPr>
                  <a:t>GHz)</a:t>
                </a:r>
              </a:p>
            </c:rich>
          </c:tx>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title>
        <c:numFmt formatCode="0" sourceLinked="0"/>
        <c:majorTickMark val="in"/>
        <c:minorTickMark val="in"/>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457262336"/>
        <c:crossesAt val="0"/>
        <c:crossBetween val="midCat"/>
        <c:majorUnit val="2"/>
        <c:minorUnit val="0.5"/>
      </c:valAx>
      <c:valAx>
        <c:axId val="457262336"/>
        <c:scaling>
          <c:orientation val="minMax"/>
          <c:max val="3.6"/>
          <c:min val="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200" b="1">
                    <a:solidFill>
                      <a:schemeClr val="tx1"/>
                    </a:solidFill>
                  </a:rPr>
                  <a:t>Tspill (K)</a:t>
                </a:r>
              </a:p>
            </c:rich>
          </c:tx>
          <c:layout>
            <c:manualLayout>
              <c:xMode val="edge"/>
              <c:yMode val="edge"/>
              <c:x val="2.0833333333333332E-2"/>
              <c:y val="0.41975710663285731"/>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title>
        <c:numFmt formatCode="0.0" sourceLinked="1"/>
        <c:majorTickMark val="in"/>
        <c:minorTickMark val="in"/>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457265616"/>
        <c:crosses val="autoZero"/>
        <c:crossBetween val="midCat"/>
        <c:majorUnit val="0.60000000000000009"/>
        <c:minorUnit val="0.2"/>
      </c:valAx>
      <c:spPr>
        <a:noFill/>
        <a:ln>
          <a:solidFill>
            <a:schemeClr val="tx1"/>
          </a:solidFill>
        </a:ln>
        <a:effectLst/>
      </c:spPr>
    </c:plotArea>
    <c:legend>
      <c:legendPos val="r"/>
      <c:layout>
        <c:manualLayout>
          <c:xMode val="edge"/>
          <c:yMode val="edge"/>
          <c:x val="0.75936167158792645"/>
          <c:y val="0.17134632323501936"/>
          <c:w val="0.14428416174540681"/>
          <c:h val="0.27006159072387259"/>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5" l="0.25" r="0.25" t="0.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b="1">
                <a:solidFill>
                  <a:sysClr val="windowText" lastClr="000000"/>
                </a:solidFill>
              </a:rPr>
              <a:t>Estimated T</a:t>
            </a:r>
            <a:r>
              <a:rPr lang="en-US" sz="2000" b="1" baseline="-25000">
                <a:solidFill>
                  <a:sysClr val="windowText" lastClr="000000"/>
                </a:solidFill>
              </a:rPr>
              <a:t>SYS</a:t>
            </a:r>
            <a:r>
              <a:rPr lang="en-US" sz="2000" b="1" baseline="0">
                <a:solidFill>
                  <a:sysClr val="windowText" lastClr="000000"/>
                </a:solidFill>
              </a:rPr>
              <a:t> vs Frequency, ngVLA Bands 1-6</a:t>
            </a:r>
            <a:endParaRPr lang="en-US" sz="2000" b="1">
              <a:solidFill>
                <a:sysClr val="windowText" lastClr="000000"/>
              </a:solidFill>
            </a:endParaRPr>
          </a:p>
        </c:rich>
      </c:tx>
      <c:layout>
        <c:manualLayout>
          <c:xMode val="edge"/>
          <c:yMode val="edge"/>
          <c:x val="0.27074525646135295"/>
          <c:y val="2.8235296019894465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Band 1</c:v>
          </c:tx>
          <c:spPr>
            <a:ln w="19050" cap="rnd">
              <a:solidFill>
                <a:srgbClr val="C00000"/>
              </a:solidFill>
              <a:round/>
            </a:ln>
            <a:effectLst/>
          </c:spPr>
          <c:marker>
            <c:symbol val="circle"/>
            <c:size val="5"/>
            <c:spPr>
              <a:solidFill>
                <a:srgbClr val="C00000"/>
              </a:solidFill>
              <a:ln w="9525">
                <a:solidFill>
                  <a:srgbClr val="C00000"/>
                </a:solidFill>
              </a:ln>
              <a:effectLst/>
            </c:spPr>
          </c:marker>
          <c:xVal>
            <c:numRef>
              <c:f>Summary!$D$11:$D$21</c:f>
              <c:numCache>
                <c:formatCode>0.00</c:formatCode>
                <c:ptCount val="11"/>
                <c:pt idx="0">
                  <c:v>1.2</c:v>
                </c:pt>
                <c:pt idx="1">
                  <c:v>1.32</c:v>
                </c:pt>
                <c:pt idx="2">
                  <c:v>1.49</c:v>
                </c:pt>
                <c:pt idx="3">
                  <c:v>1.65</c:v>
                </c:pt>
                <c:pt idx="4">
                  <c:v>1.84</c:v>
                </c:pt>
                <c:pt idx="5">
                  <c:v>2.0499999999999998</c:v>
                </c:pt>
                <c:pt idx="6">
                  <c:v>2.2799999999999998</c:v>
                </c:pt>
                <c:pt idx="7">
                  <c:v>2.54</c:v>
                </c:pt>
                <c:pt idx="8">
                  <c:v>2.83</c:v>
                </c:pt>
                <c:pt idx="9">
                  <c:v>3.16</c:v>
                </c:pt>
                <c:pt idx="10">
                  <c:v>3.49</c:v>
                </c:pt>
              </c:numCache>
            </c:numRef>
          </c:xVal>
          <c:yVal>
            <c:numRef>
              <c:f>Summary!$J$11:$J$21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0-5B5C-45AD-BD8D-37760D0CB2B1}"/>
            </c:ext>
          </c:extLst>
        </c:ser>
        <c:ser>
          <c:idx val="1"/>
          <c:order val="1"/>
          <c:tx>
            <c:v>Band 2</c:v>
          </c:tx>
          <c:spPr>
            <a:ln w="19050"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xVal>
            <c:numRef>
              <c:f>Summary!$D$22:$D$32</c:f>
              <c:numCache>
                <c:formatCode>0.00</c:formatCode>
                <c:ptCount val="11"/>
                <c:pt idx="0">
                  <c:v>3.4099999999999997</c:v>
                </c:pt>
                <c:pt idx="1">
                  <c:v>3.88</c:v>
                </c:pt>
                <c:pt idx="2">
                  <c:v>4.4000000000000004</c:v>
                </c:pt>
                <c:pt idx="3">
                  <c:v>5</c:v>
                </c:pt>
                <c:pt idx="4">
                  <c:v>5.7</c:v>
                </c:pt>
                <c:pt idx="5">
                  <c:v>6.45</c:v>
                </c:pt>
                <c:pt idx="6">
                  <c:v>7.35</c:v>
                </c:pt>
                <c:pt idx="7">
                  <c:v>8.35</c:v>
                </c:pt>
                <c:pt idx="8">
                  <c:v>9.5</c:v>
                </c:pt>
                <c:pt idx="9">
                  <c:v>10.8</c:v>
                </c:pt>
                <c:pt idx="10">
                  <c:v>12.290000000000001</c:v>
                </c:pt>
              </c:numCache>
            </c:numRef>
          </c:xVal>
          <c:yVal>
            <c:numRef>
              <c:f>Summary!$J$22:$J$32</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1-5B5C-45AD-BD8D-37760D0CB2B1}"/>
            </c:ext>
          </c:extLst>
        </c:ser>
        <c:ser>
          <c:idx val="2"/>
          <c:order val="2"/>
          <c:tx>
            <c:v>Band 3</c:v>
          </c:tx>
          <c:spPr>
            <a:ln w="19050" cap="rnd">
              <a:solidFill>
                <a:schemeClr val="tx1"/>
              </a:solidFill>
              <a:round/>
            </a:ln>
            <a:effectLst/>
          </c:spPr>
          <c:marker>
            <c:symbol val="circle"/>
            <c:size val="5"/>
            <c:spPr>
              <a:solidFill>
                <a:schemeClr val="tx1"/>
              </a:solidFill>
              <a:ln w="9525">
                <a:solidFill>
                  <a:schemeClr val="tx1"/>
                </a:solidFill>
              </a:ln>
              <a:effectLst/>
            </c:spPr>
          </c:marker>
          <c:xVal>
            <c:numRef>
              <c:f>Summary!$D$33:$D$43</c:f>
              <c:numCache>
                <c:formatCode>0.00</c:formatCode>
                <c:ptCount val="11"/>
                <c:pt idx="0">
                  <c:v>12.31</c:v>
                </c:pt>
                <c:pt idx="1">
                  <c:v>12.94</c:v>
                </c:pt>
                <c:pt idx="2">
                  <c:v>13.6</c:v>
                </c:pt>
                <c:pt idx="3">
                  <c:v>14.35</c:v>
                </c:pt>
                <c:pt idx="4">
                  <c:v>15.1</c:v>
                </c:pt>
                <c:pt idx="5">
                  <c:v>15.9</c:v>
                </c:pt>
                <c:pt idx="6">
                  <c:v>16.7</c:v>
                </c:pt>
                <c:pt idx="7">
                  <c:v>17.600000000000001</c:v>
                </c:pt>
                <c:pt idx="8">
                  <c:v>18.5</c:v>
                </c:pt>
                <c:pt idx="9">
                  <c:v>19.5</c:v>
                </c:pt>
                <c:pt idx="10">
                  <c:v>20.5</c:v>
                </c:pt>
              </c:numCache>
            </c:numRef>
          </c:xVal>
          <c:yVal>
            <c:numRef>
              <c:f>Summary!$J$33:$J$43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2-5B5C-45AD-BD8D-37760D0CB2B1}"/>
            </c:ext>
          </c:extLst>
        </c:ser>
        <c:ser>
          <c:idx val="3"/>
          <c:order val="3"/>
          <c:tx>
            <c:v>Band 4</c:v>
          </c:tx>
          <c:spPr>
            <a:ln w="19050" cap="rnd">
              <a:solidFill>
                <a:srgbClr val="008000"/>
              </a:solidFill>
              <a:round/>
            </a:ln>
            <a:effectLst/>
          </c:spPr>
          <c:marker>
            <c:symbol val="circle"/>
            <c:size val="5"/>
            <c:spPr>
              <a:solidFill>
                <a:srgbClr val="008000"/>
              </a:solidFill>
              <a:ln w="9525">
                <a:solidFill>
                  <a:srgbClr val="008000"/>
                </a:solidFill>
              </a:ln>
              <a:effectLst/>
            </c:spPr>
          </c:marker>
          <c:xVal>
            <c:numRef>
              <c:f>Summary!$P$11:$P$21</c:f>
              <c:numCache>
                <c:formatCode>0.0</c:formatCode>
                <c:ptCount val="11"/>
                <c:pt idx="0">
                  <c:v>20.5</c:v>
                </c:pt>
                <c:pt idx="1">
                  <c:v>21.6</c:v>
                </c:pt>
                <c:pt idx="2">
                  <c:v>22.7</c:v>
                </c:pt>
                <c:pt idx="3">
                  <c:v>23.9</c:v>
                </c:pt>
                <c:pt idx="4">
                  <c:v>25.1</c:v>
                </c:pt>
                <c:pt idx="5">
                  <c:v>26.4</c:v>
                </c:pt>
                <c:pt idx="6">
                  <c:v>27.8</c:v>
                </c:pt>
                <c:pt idx="7">
                  <c:v>29.2</c:v>
                </c:pt>
                <c:pt idx="8">
                  <c:v>30.7</c:v>
                </c:pt>
                <c:pt idx="9">
                  <c:v>32.4</c:v>
                </c:pt>
                <c:pt idx="10">
                  <c:v>34</c:v>
                </c:pt>
              </c:numCache>
            </c:numRef>
          </c:xVal>
          <c:yVal>
            <c:numRef>
              <c:f>Summary!$V$11:$V$21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3-5B5C-45AD-BD8D-37760D0CB2B1}"/>
            </c:ext>
          </c:extLst>
        </c:ser>
        <c:ser>
          <c:idx val="4"/>
          <c:order val="4"/>
          <c:tx>
            <c:v>Band 5</c:v>
          </c:tx>
          <c:spPr>
            <a:ln w="19050" cap="rnd">
              <a:solidFill>
                <a:srgbClr val="0000FF"/>
              </a:solidFill>
              <a:round/>
            </a:ln>
            <a:effectLst/>
          </c:spPr>
          <c:marker>
            <c:symbol val="circle"/>
            <c:size val="5"/>
            <c:spPr>
              <a:solidFill>
                <a:srgbClr val="0000FF"/>
              </a:solidFill>
              <a:ln w="9525">
                <a:solidFill>
                  <a:srgbClr val="0000FF"/>
                </a:solidFill>
              </a:ln>
              <a:effectLst/>
            </c:spPr>
          </c:marker>
          <c:xVal>
            <c:numRef>
              <c:f>Summary!$P$22:$P$32</c:f>
              <c:numCache>
                <c:formatCode>0.0</c:formatCode>
                <c:ptCount val="11"/>
                <c:pt idx="0">
                  <c:v>30.5</c:v>
                </c:pt>
                <c:pt idx="1">
                  <c:v>32</c:v>
                </c:pt>
                <c:pt idx="2">
                  <c:v>33.700000000000003</c:v>
                </c:pt>
                <c:pt idx="3">
                  <c:v>35.5</c:v>
                </c:pt>
                <c:pt idx="4">
                  <c:v>37.299999999999997</c:v>
                </c:pt>
                <c:pt idx="5">
                  <c:v>39.299999999999997</c:v>
                </c:pt>
                <c:pt idx="6">
                  <c:v>41.3</c:v>
                </c:pt>
                <c:pt idx="7">
                  <c:v>43.3</c:v>
                </c:pt>
                <c:pt idx="8">
                  <c:v>45.7</c:v>
                </c:pt>
                <c:pt idx="9">
                  <c:v>48</c:v>
                </c:pt>
                <c:pt idx="10">
                  <c:v>50.5</c:v>
                </c:pt>
              </c:numCache>
            </c:numRef>
          </c:xVal>
          <c:yVal>
            <c:numRef>
              <c:f>Summary!$V$22:$V$32</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4-5B5C-45AD-BD8D-37760D0CB2B1}"/>
            </c:ext>
          </c:extLst>
        </c:ser>
        <c:ser>
          <c:idx val="5"/>
          <c:order val="5"/>
          <c:tx>
            <c:v>Band 6</c:v>
          </c:tx>
          <c:spPr>
            <a:ln w="19050" cap="rnd">
              <a:solidFill>
                <a:srgbClr val="7030A0"/>
              </a:solidFill>
              <a:round/>
            </a:ln>
            <a:effectLst/>
          </c:spPr>
          <c:marker>
            <c:symbol val="circle"/>
            <c:size val="5"/>
            <c:spPr>
              <a:solidFill>
                <a:srgbClr val="7030A0"/>
              </a:solidFill>
              <a:ln w="9525">
                <a:solidFill>
                  <a:srgbClr val="7030A0"/>
                </a:solidFill>
              </a:ln>
              <a:effectLst/>
            </c:spPr>
          </c:marker>
          <c:xVal>
            <c:numRef>
              <c:f>Summary!$P$33:$P$43</c:f>
              <c:numCache>
                <c:formatCode>0.0</c:formatCode>
                <c:ptCount val="11"/>
                <c:pt idx="0">
                  <c:v>70</c:v>
                </c:pt>
                <c:pt idx="1">
                  <c:v>73.8</c:v>
                </c:pt>
                <c:pt idx="2">
                  <c:v>77.5</c:v>
                </c:pt>
                <c:pt idx="3">
                  <c:v>81.5</c:v>
                </c:pt>
                <c:pt idx="4">
                  <c:v>85.5</c:v>
                </c:pt>
                <c:pt idx="5">
                  <c:v>90</c:v>
                </c:pt>
                <c:pt idx="6">
                  <c:v>95</c:v>
                </c:pt>
                <c:pt idx="7">
                  <c:v>100</c:v>
                </c:pt>
                <c:pt idx="8">
                  <c:v>105</c:v>
                </c:pt>
                <c:pt idx="9">
                  <c:v>110.6</c:v>
                </c:pt>
                <c:pt idx="10">
                  <c:v>116</c:v>
                </c:pt>
              </c:numCache>
            </c:numRef>
          </c:xVal>
          <c:yVal>
            <c:numRef>
              <c:f>Summary!$V$33:$V$43</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c:ext xmlns:c16="http://schemas.microsoft.com/office/drawing/2014/chart" uri="{C3380CC4-5D6E-409C-BE32-E72D297353CC}">
              <c16:uniqueId val="{00000005-5B5C-45AD-BD8D-37760D0CB2B1}"/>
            </c:ext>
          </c:extLst>
        </c:ser>
        <c:dLbls>
          <c:showLegendKey val="0"/>
          <c:showVal val="0"/>
          <c:showCatName val="0"/>
          <c:showSerName val="0"/>
          <c:showPercent val="0"/>
          <c:showBubbleSize val="0"/>
        </c:dLbls>
        <c:axId val="508265136"/>
        <c:axId val="508266448"/>
      </c:scatterChart>
      <c:valAx>
        <c:axId val="508265136"/>
        <c:scaling>
          <c:logBase val="10"/>
          <c:orientation val="minMax"/>
          <c:max val="120"/>
        </c:scaling>
        <c:delete val="0"/>
        <c:axPos val="b"/>
        <c:majorGridlines>
          <c:spPr>
            <a:ln w="9525" cap="flat" cmpd="sng" algn="ctr">
              <a:solidFill>
                <a:schemeClr val="bg1">
                  <a:lumMod val="50000"/>
                </a:schemeClr>
              </a:solidFill>
              <a:round/>
            </a:ln>
            <a:effectLst/>
          </c:spPr>
        </c:majorGridlines>
        <c:minorGridlines>
          <c:spPr>
            <a:ln w="9525" cap="flat" cmpd="sng" algn="ctr">
              <a:solidFill>
                <a:schemeClr val="bg1">
                  <a:lumMod val="75000"/>
                </a:schemeClr>
              </a:solidFill>
              <a:round/>
            </a:ln>
            <a:effectLst/>
          </c:spPr>
        </c:minorGridlines>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n-US" sz="1800" b="1">
                    <a:solidFill>
                      <a:sysClr val="windowText" lastClr="000000"/>
                    </a:solidFill>
                  </a:rPr>
                  <a:t>Frequency,</a:t>
                </a:r>
                <a:r>
                  <a:rPr lang="en-US" sz="1800" b="1" baseline="0">
                    <a:solidFill>
                      <a:sysClr val="windowText" lastClr="000000"/>
                    </a:solidFill>
                  </a:rPr>
                  <a:t> GHz</a:t>
                </a:r>
                <a:endParaRPr lang="en-US" sz="1800" b="1">
                  <a:solidFill>
                    <a:sysClr val="windowText" lastClr="000000"/>
                  </a:solidFill>
                </a:endParaRPr>
              </a:p>
            </c:rich>
          </c:tx>
          <c:layout>
            <c:manualLayout>
              <c:xMode val="edge"/>
              <c:yMode val="edge"/>
              <c:x val="0.44105607743029113"/>
              <c:y val="0.89439150410654789"/>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in"/>
        <c:tickLblPos val="nextTo"/>
        <c:spPr>
          <a:noFill/>
          <a:ln w="9525" cap="flat" cmpd="sng" algn="ctr">
            <a:solidFill>
              <a:schemeClr val="tx1"/>
            </a:solidFill>
            <a:round/>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crossAx val="508266448"/>
        <c:crosses val="autoZero"/>
        <c:crossBetween val="midCat"/>
        <c:majorUnit val="10"/>
        <c:minorUnit val="5"/>
      </c:valAx>
      <c:valAx>
        <c:axId val="508266448"/>
        <c:scaling>
          <c:orientation val="minMax"/>
          <c:max val="140"/>
          <c:min val="0"/>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n-US" sz="1800" b="1">
                    <a:solidFill>
                      <a:sysClr val="windowText" lastClr="000000"/>
                    </a:solidFill>
                  </a:rPr>
                  <a:t>Tsys,</a:t>
                </a:r>
                <a:r>
                  <a:rPr lang="en-US" sz="1800" b="1" baseline="0">
                    <a:solidFill>
                      <a:sysClr val="windowText" lastClr="000000"/>
                    </a:solidFill>
                  </a:rPr>
                  <a:t> Kelvin</a:t>
                </a:r>
                <a:endParaRPr lang="en-US" sz="1800" b="1">
                  <a:solidFill>
                    <a:sysClr val="windowText" lastClr="000000"/>
                  </a:solidFill>
                </a:endParaRPr>
              </a:p>
            </c:rich>
          </c:tx>
          <c:layout>
            <c:manualLayout>
              <c:xMode val="edge"/>
              <c:yMode val="edge"/>
              <c:x val="1.7430812358845776E-2"/>
              <c:y val="0.38492712181074556"/>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solidFill>
            <a:round/>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crossAx val="508265136"/>
        <c:crosses val="autoZero"/>
        <c:crossBetween val="midCat"/>
        <c:minorUnit val="5"/>
      </c:valAx>
      <c:spPr>
        <a:noFill/>
        <a:ln>
          <a:noFill/>
        </a:ln>
        <a:effectLst/>
      </c:spPr>
    </c:plotArea>
    <c:legend>
      <c:legendPos val="l"/>
      <c:layout>
        <c:manualLayout>
          <c:xMode val="edge"/>
          <c:yMode val="edge"/>
          <c:x val="0.14643358036898951"/>
          <c:y val="0.15362284920613747"/>
          <c:w val="0.10908278553302693"/>
          <c:h val="0.33497328459965703"/>
        </c:manualLayout>
      </c:layout>
      <c:overlay val="1"/>
      <c:spPr>
        <a:solidFill>
          <a:schemeClr val="bg1"/>
        </a:solidFill>
        <a:ln>
          <a:solidFill>
            <a:schemeClr val="tx1"/>
          </a:solid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9050"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Tatm for VLA Site, Zenith Elevation</a:t>
            </a:r>
          </a:p>
        </c:rich>
      </c:tx>
      <c:layout>
        <c:manualLayout>
          <c:xMode val="edge"/>
          <c:yMode val="edge"/>
          <c:x val="0.29683616530984264"/>
          <c:y val="0"/>
        </c:manualLayout>
      </c:layout>
      <c:overlay val="0"/>
    </c:title>
    <c:autoTitleDeleted val="0"/>
    <c:plotArea>
      <c:layout>
        <c:manualLayout>
          <c:layoutTarget val="inner"/>
          <c:xMode val="edge"/>
          <c:yMode val="edge"/>
          <c:x val="6.9044735917186781E-2"/>
          <c:y val="7.4002748014091985E-2"/>
          <c:w val="0.88555754464972514"/>
          <c:h val="0.78411882452331705"/>
        </c:manualLayout>
      </c:layout>
      <c:scatterChart>
        <c:scatterStyle val="smoothMarker"/>
        <c:varyColors val="0"/>
        <c:ser>
          <c:idx val="0"/>
          <c:order val="0"/>
          <c:tx>
            <c:strRef>
              <c:f>Tatm!$B$5</c:f>
              <c:strCache>
                <c:ptCount val="1"/>
                <c:pt idx="0">
                  <c:v>1</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Tatm!$B$6:$B$1196</c:f>
              <c:numCache>
                <c:formatCode>General</c:formatCode>
                <c:ptCount val="1191"/>
                <c:pt idx="0">
                  <c:v>3.9</c:v>
                </c:pt>
                <c:pt idx="1">
                  <c:v>3.9</c:v>
                </c:pt>
                <c:pt idx="2">
                  <c:v>3.9</c:v>
                </c:pt>
                <c:pt idx="3">
                  <c:v>3.9</c:v>
                </c:pt>
                <c:pt idx="4">
                  <c:v>3.9</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4.0999999999999996</c:v>
                </c:pt>
                <c:pt idx="37">
                  <c:v>4.0999999999999996</c:v>
                </c:pt>
                <c:pt idx="38">
                  <c:v>4.0999999999999996</c:v>
                </c:pt>
                <c:pt idx="39">
                  <c:v>4.0999999999999996</c:v>
                </c:pt>
                <c:pt idx="40">
                  <c:v>4.0999999999999996</c:v>
                </c:pt>
                <c:pt idx="41">
                  <c:v>4.0999999999999996</c:v>
                </c:pt>
                <c:pt idx="42">
                  <c:v>4.0999999999999996</c:v>
                </c:pt>
                <c:pt idx="43">
                  <c:v>4.0999999999999996</c:v>
                </c:pt>
                <c:pt idx="44">
                  <c:v>4.0999999999999996</c:v>
                </c:pt>
                <c:pt idx="45">
                  <c:v>4.0999999999999996</c:v>
                </c:pt>
                <c:pt idx="46">
                  <c:v>4.0999999999999996</c:v>
                </c:pt>
                <c:pt idx="47">
                  <c:v>4.0999999999999996</c:v>
                </c:pt>
                <c:pt idx="48">
                  <c:v>4.0999999999999996</c:v>
                </c:pt>
                <c:pt idx="49">
                  <c:v>4.0999999999999996</c:v>
                </c:pt>
                <c:pt idx="50">
                  <c:v>4.0999999999999996</c:v>
                </c:pt>
                <c:pt idx="51">
                  <c:v>4.0999999999999996</c:v>
                </c:pt>
                <c:pt idx="52">
                  <c:v>4.0999999999999996</c:v>
                </c:pt>
                <c:pt idx="53">
                  <c:v>4.0999999999999996</c:v>
                </c:pt>
                <c:pt idx="54">
                  <c:v>4.0999999999999996</c:v>
                </c:pt>
                <c:pt idx="55">
                  <c:v>4.0999999999999996</c:v>
                </c:pt>
                <c:pt idx="56">
                  <c:v>4.0999999999999996</c:v>
                </c:pt>
                <c:pt idx="57">
                  <c:v>4.0999999999999996</c:v>
                </c:pt>
                <c:pt idx="58">
                  <c:v>4.0999999999999996</c:v>
                </c:pt>
                <c:pt idx="59">
                  <c:v>4.0999999999999996</c:v>
                </c:pt>
                <c:pt idx="60">
                  <c:v>4.0999999999999996</c:v>
                </c:pt>
                <c:pt idx="61">
                  <c:v>4.0999999999999996</c:v>
                </c:pt>
                <c:pt idx="62">
                  <c:v>4.0999999999999996</c:v>
                </c:pt>
                <c:pt idx="63">
                  <c:v>4.0999999999999996</c:v>
                </c:pt>
                <c:pt idx="64">
                  <c:v>4.0999999999999996</c:v>
                </c:pt>
                <c:pt idx="65">
                  <c:v>4.0999999999999996</c:v>
                </c:pt>
                <c:pt idx="66">
                  <c:v>4.0999999999999996</c:v>
                </c:pt>
                <c:pt idx="67">
                  <c:v>4.0999999999999996</c:v>
                </c:pt>
                <c:pt idx="68">
                  <c:v>4.0999999999999996</c:v>
                </c:pt>
                <c:pt idx="69">
                  <c:v>4.0999999999999996</c:v>
                </c:pt>
                <c:pt idx="70">
                  <c:v>4.0999999999999996</c:v>
                </c:pt>
                <c:pt idx="71">
                  <c:v>4.0999999999999996</c:v>
                </c:pt>
                <c:pt idx="72">
                  <c:v>4.0999999999999996</c:v>
                </c:pt>
                <c:pt idx="73">
                  <c:v>4.0999999999999996</c:v>
                </c:pt>
                <c:pt idx="74">
                  <c:v>4.0999999999999996</c:v>
                </c:pt>
                <c:pt idx="75">
                  <c:v>4.0999999999999996</c:v>
                </c:pt>
                <c:pt idx="76">
                  <c:v>4.2</c:v>
                </c:pt>
                <c:pt idx="77">
                  <c:v>4.2</c:v>
                </c:pt>
                <c:pt idx="78">
                  <c:v>4.2</c:v>
                </c:pt>
                <c:pt idx="79">
                  <c:v>4.2</c:v>
                </c:pt>
                <c:pt idx="80">
                  <c:v>4.2</c:v>
                </c:pt>
                <c:pt idx="81">
                  <c:v>4.2</c:v>
                </c:pt>
                <c:pt idx="82">
                  <c:v>4.2</c:v>
                </c:pt>
                <c:pt idx="83">
                  <c:v>4.2</c:v>
                </c:pt>
                <c:pt idx="84">
                  <c:v>4.2</c:v>
                </c:pt>
                <c:pt idx="85">
                  <c:v>4.2</c:v>
                </c:pt>
                <c:pt idx="86">
                  <c:v>4.2</c:v>
                </c:pt>
                <c:pt idx="87">
                  <c:v>4.2</c:v>
                </c:pt>
                <c:pt idx="88">
                  <c:v>4.2</c:v>
                </c:pt>
                <c:pt idx="89">
                  <c:v>4.2</c:v>
                </c:pt>
                <c:pt idx="90">
                  <c:v>4.2</c:v>
                </c:pt>
                <c:pt idx="91">
                  <c:v>4.2</c:v>
                </c:pt>
                <c:pt idx="92">
                  <c:v>4.2</c:v>
                </c:pt>
                <c:pt idx="93">
                  <c:v>4.2</c:v>
                </c:pt>
                <c:pt idx="94">
                  <c:v>4.2</c:v>
                </c:pt>
                <c:pt idx="95">
                  <c:v>4.2</c:v>
                </c:pt>
                <c:pt idx="96">
                  <c:v>4.2</c:v>
                </c:pt>
                <c:pt idx="97">
                  <c:v>4.2</c:v>
                </c:pt>
                <c:pt idx="98">
                  <c:v>4.2</c:v>
                </c:pt>
                <c:pt idx="99">
                  <c:v>4.2</c:v>
                </c:pt>
                <c:pt idx="100">
                  <c:v>4.2</c:v>
                </c:pt>
                <c:pt idx="101">
                  <c:v>4.3</c:v>
                </c:pt>
                <c:pt idx="102">
                  <c:v>4.3</c:v>
                </c:pt>
                <c:pt idx="103">
                  <c:v>4.3</c:v>
                </c:pt>
                <c:pt idx="104">
                  <c:v>4.3</c:v>
                </c:pt>
                <c:pt idx="105">
                  <c:v>4.3</c:v>
                </c:pt>
                <c:pt idx="106">
                  <c:v>4.3</c:v>
                </c:pt>
                <c:pt idx="107">
                  <c:v>4.3</c:v>
                </c:pt>
                <c:pt idx="108">
                  <c:v>4.3</c:v>
                </c:pt>
                <c:pt idx="109">
                  <c:v>4.3</c:v>
                </c:pt>
                <c:pt idx="110">
                  <c:v>4.3</c:v>
                </c:pt>
                <c:pt idx="111">
                  <c:v>4.3</c:v>
                </c:pt>
                <c:pt idx="112">
                  <c:v>4.3</c:v>
                </c:pt>
                <c:pt idx="113">
                  <c:v>4.3</c:v>
                </c:pt>
                <c:pt idx="114">
                  <c:v>4.3</c:v>
                </c:pt>
                <c:pt idx="115">
                  <c:v>4.3</c:v>
                </c:pt>
                <c:pt idx="116">
                  <c:v>4.3</c:v>
                </c:pt>
                <c:pt idx="117">
                  <c:v>4.3</c:v>
                </c:pt>
                <c:pt idx="118">
                  <c:v>4.3</c:v>
                </c:pt>
                <c:pt idx="119">
                  <c:v>4.3</c:v>
                </c:pt>
                <c:pt idx="120">
                  <c:v>4.4000000000000004</c:v>
                </c:pt>
                <c:pt idx="121">
                  <c:v>4.4000000000000004</c:v>
                </c:pt>
                <c:pt idx="122">
                  <c:v>4.4000000000000004</c:v>
                </c:pt>
                <c:pt idx="123">
                  <c:v>4.4000000000000004</c:v>
                </c:pt>
                <c:pt idx="124">
                  <c:v>4.4000000000000004</c:v>
                </c:pt>
                <c:pt idx="125">
                  <c:v>4.4000000000000004</c:v>
                </c:pt>
                <c:pt idx="126">
                  <c:v>4.4000000000000004</c:v>
                </c:pt>
                <c:pt idx="127">
                  <c:v>4.4000000000000004</c:v>
                </c:pt>
                <c:pt idx="128">
                  <c:v>4.4000000000000004</c:v>
                </c:pt>
                <c:pt idx="129">
                  <c:v>4.4000000000000004</c:v>
                </c:pt>
                <c:pt idx="130">
                  <c:v>4.4000000000000004</c:v>
                </c:pt>
                <c:pt idx="131">
                  <c:v>4.4000000000000004</c:v>
                </c:pt>
                <c:pt idx="132">
                  <c:v>4.4000000000000004</c:v>
                </c:pt>
                <c:pt idx="133">
                  <c:v>4.4000000000000004</c:v>
                </c:pt>
                <c:pt idx="134">
                  <c:v>4.4000000000000004</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4.5999999999999996</c:v>
                </c:pt>
                <c:pt idx="148">
                  <c:v>4.5999999999999996</c:v>
                </c:pt>
                <c:pt idx="149">
                  <c:v>4.5999999999999996</c:v>
                </c:pt>
                <c:pt idx="150">
                  <c:v>4.5999999999999996</c:v>
                </c:pt>
                <c:pt idx="151">
                  <c:v>4.5999999999999996</c:v>
                </c:pt>
                <c:pt idx="152">
                  <c:v>4.5999999999999996</c:v>
                </c:pt>
                <c:pt idx="153">
                  <c:v>4.5999999999999996</c:v>
                </c:pt>
                <c:pt idx="154">
                  <c:v>4.5999999999999996</c:v>
                </c:pt>
                <c:pt idx="155">
                  <c:v>4.5999999999999996</c:v>
                </c:pt>
                <c:pt idx="156">
                  <c:v>4.7</c:v>
                </c:pt>
                <c:pt idx="157">
                  <c:v>4.7</c:v>
                </c:pt>
                <c:pt idx="158">
                  <c:v>4.7</c:v>
                </c:pt>
                <c:pt idx="159">
                  <c:v>4.7</c:v>
                </c:pt>
                <c:pt idx="160">
                  <c:v>4.7</c:v>
                </c:pt>
                <c:pt idx="161">
                  <c:v>4.7</c:v>
                </c:pt>
                <c:pt idx="162">
                  <c:v>4.7</c:v>
                </c:pt>
                <c:pt idx="163">
                  <c:v>4.7</c:v>
                </c:pt>
                <c:pt idx="164">
                  <c:v>4.8</c:v>
                </c:pt>
                <c:pt idx="165">
                  <c:v>4.8</c:v>
                </c:pt>
                <c:pt idx="166">
                  <c:v>4.8</c:v>
                </c:pt>
                <c:pt idx="167">
                  <c:v>4.8</c:v>
                </c:pt>
                <c:pt idx="168">
                  <c:v>4.8</c:v>
                </c:pt>
                <c:pt idx="169">
                  <c:v>4.8</c:v>
                </c:pt>
                <c:pt idx="170">
                  <c:v>4.9000000000000004</c:v>
                </c:pt>
                <c:pt idx="171">
                  <c:v>4.9000000000000004</c:v>
                </c:pt>
                <c:pt idx="172">
                  <c:v>4.9000000000000004</c:v>
                </c:pt>
                <c:pt idx="173">
                  <c:v>4.9000000000000004</c:v>
                </c:pt>
                <c:pt idx="174">
                  <c:v>4.9000000000000004</c:v>
                </c:pt>
                <c:pt idx="175">
                  <c:v>5</c:v>
                </c:pt>
                <c:pt idx="176">
                  <c:v>5</c:v>
                </c:pt>
                <c:pt idx="177">
                  <c:v>5</c:v>
                </c:pt>
                <c:pt idx="178">
                  <c:v>5</c:v>
                </c:pt>
                <c:pt idx="179">
                  <c:v>5.0999999999999996</c:v>
                </c:pt>
                <c:pt idx="180">
                  <c:v>5.0999999999999996</c:v>
                </c:pt>
                <c:pt idx="181">
                  <c:v>5.0999999999999996</c:v>
                </c:pt>
                <c:pt idx="182">
                  <c:v>5.2</c:v>
                </c:pt>
                <c:pt idx="183">
                  <c:v>5.2</c:v>
                </c:pt>
                <c:pt idx="184">
                  <c:v>5.2</c:v>
                </c:pt>
                <c:pt idx="185">
                  <c:v>5.3</c:v>
                </c:pt>
                <c:pt idx="186">
                  <c:v>5.3</c:v>
                </c:pt>
                <c:pt idx="187">
                  <c:v>5.3</c:v>
                </c:pt>
                <c:pt idx="188">
                  <c:v>5.4</c:v>
                </c:pt>
                <c:pt idx="189">
                  <c:v>5.4</c:v>
                </c:pt>
                <c:pt idx="190">
                  <c:v>5.5</c:v>
                </c:pt>
                <c:pt idx="191">
                  <c:v>5.5</c:v>
                </c:pt>
                <c:pt idx="192">
                  <c:v>5.6</c:v>
                </c:pt>
                <c:pt idx="193">
                  <c:v>5.6</c:v>
                </c:pt>
                <c:pt idx="194">
                  <c:v>5.7</c:v>
                </c:pt>
                <c:pt idx="195">
                  <c:v>5.7</c:v>
                </c:pt>
                <c:pt idx="196">
                  <c:v>5.8</c:v>
                </c:pt>
                <c:pt idx="197">
                  <c:v>5.9</c:v>
                </c:pt>
                <c:pt idx="198">
                  <c:v>6</c:v>
                </c:pt>
                <c:pt idx="199">
                  <c:v>6</c:v>
                </c:pt>
                <c:pt idx="200">
                  <c:v>6.1</c:v>
                </c:pt>
                <c:pt idx="201">
                  <c:v>6.2</c:v>
                </c:pt>
                <c:pt idx="202">
                  <c:v>6.3</c:v>
                </c:pt>
                <c:pt idx="203">
                  <c:v>6.3</c:v>
                </c:pt>
                <c:pt idx="204">
                  <c:v>6.4</c:v>
                </c:pt>
                <c:pt idx="205">
                  <c:v>6.5</c:v>
                </c:pt>
                <c:pt idx="206">
                  <c:v>6.6</c:v>
                </c:pt>
                <c:pt idx="207">
                  <c:v>6.7</c:v>
                </c:pt>
                <c:pt idx="208">
                  <c:v>6.7</c:v>
                </c:pt>
                <c:pt idx="209">
                  <c:v>6.8</c:v>
                </c:pt>
                <c:pt idx="210">
                  <c:v>6.9</c:v>
                </c:pt>
                <c:pt idx="211">
                  <c:v>6.9</c:v>
                </c:pt>
                <c:pt idx="212">
                  <c:v>7</c:v>
                </c:pt>
                <c:pt idx="213">
                  <c:v>7</c:v>
                </c:pt>
                <c:pt idx="214">
                  <c:v>7</c:v>
                </c:pt>
                <c:pt idx="215">
                  <c:v>7</c:v>
                </c:pt>
                <c:pt idx="216">
                  <c:v>7</c:v>
                </c:pt>
                <c:pt idx="217">
                  <c:v>7</c:v>
                </c:pt>
                <c:pt idx="218">
                  <c:v>7</c:v>
                </c:pt>
                <c:pt idx="219">
                  <c:v>6.9</c:v>
                </c:pt>
                <c:pt idx="220">
                  <c:v>6.9</c:v>
                </c:pt>
                <c:pt idx="221">
                  <c:v>6.9</c:v>
                </c:pt>
                <c:pt idx="222">
                  <c:v>6.8</c:v>
                </c:pt>
                <c:pt idx="223">
                  <c:v>6.8</c:v>
                </c:pt>
                <c:pt idx="224">
                  <c:v>6.7</c:v>
                </c:pt>
                <c:pt idx="225">
                  <c:v>6.7</c:v>
                </c:pt>
                <c:pt idx="226">
                  <c:v>6.6</c:v>
                </c:pt>
                <c:pt idx="227">
                  <c:v>6.6</c:v>
                </c:pt>
                <c:pt idx="228">
                  <c:v>6.5</c:v>
                </c:pt>
                <c:pt idx="229">
                  <c:v>6.5</c:v>
                </c:pt>
                <c:pt idx="230">
                  <c:v>6.5</c:v>
                </c:pt>
                <c:pt idx="231">
                  <c:v>6.4</c:v>
                </c:pt>
                <c:pt idx="232">
                  <c:v>6.4</c:v>
                </c:pt>
                <c:pt idx="233">
                  <c:v>6.4</c:v>
                </c:pt>
                <c:pt idx="234">
                  <c:v>6.3</c:v>
                </c:pt>
                <c:pt idx="235">
                  <c:v>6.3</c:v>
                </c:pt>
                <c:pt idx="236">
                  <c:v>6.3</c:v>
                </c:pt>
                <c:pt idx="237">
                  <c:v>6.3</c:v>
                </c:pt>
                <c:pt idx="238">
                  <c:v>6.3</c:v>
                </c:pt>
                <c:pt idx="239">
                  <c:v>6.2</c:v>
                </c:pt>
                <c:pt idx="240">
                  <c:v>6.2</c:v>
                </c:pt>
                <c:pt idx="241">
                  <c:v>6.2</c:v>
                </c:pt>
                <c:pt idx="242">
                  <c:v>6.2</c:v>
                </c:pt>
                <c:pt idx="243">
                  <c:v>6.2</c:v>
                </c:pt>
                <c:pt idx="244">
                  <c:v>6.2</c:v>
                </c:pt>
                <c:pt idx="245">
                  <c:v>6.2</c:v>
                </c:pt>
                <c:pt idx="246">
                  <c:v>6.2</c:v>
                </c:pt>
                <c:pt idx="247">
                  <c:v>6.1</c:v>
                </c:pt>
                <c:pt idx="248">
                  <c:v>6.1</c:v>
                </c:pt>
                <c:pt idx="249">
                  <c:v>6.1</c:v>
                </c:pt>
                <c:pt idx="250">
                  <c:v>6.1</c:v>
                </c:pt>
                <c:pt idx="251">
                  <c:v>6.1</c:v>
                </c:pt>
                <c:pt idx="252">
                  <c:v>6.1</c:v>
                </c:pt>
                <c:pt idx="253">
                  <c:v>6.1</c:v>
                </c:pt>
                <c:pt idx="254">
                  <c:v>6.1</c:v>
                </c:pt>
                <c:pt idx="255">
                  <c:v>6.1</c:v>
                </c:pt>
                <c:pt idx="256">
                  <c:v>6.2</c:v>
                </c:pt>
                <c:pt idx="257">
                  <c:v>6.2</c:v>
                </c:pt>
                <c:pt idx="258">
                  <c:v>6.2</c:v>
                </c:pt>
                <c:pt idx="259">
                  <c:v>6.2</c:v>
                </c:pt>
                <c:pt idx="260">
                  <c:v>6.2</c:v>
                </c:pt>
                <c:pt idx="261">
                  <c:v>6.2</c:v>
                </c:pt>
                <c:pt idx="262">
                  <c:v>6.2</c:v>
                </c:pt>
                <c:pt idx="263">
                  <c:v>6.2</c:v>
                </c:pt>
                <c:pt idx="264">
                  <c:v>6.2</c:v>
                </c:pt>
                <c:pt idx="265">
                  <c:v>6.2</c:v>
                </c:pt>
                <c:pt idx="266">
                  <c:v>6.2</c:v>
                </c:pt>
                <c:pt idx="267">
                  <c:v>6.2</c:v>
                </c:pt>
                <c:pt idx="268">
                  <c:v>6.3</c:v>
                </c:pt>
                <c:pt idx="269">
                  <c:v>6.3</c:v>
                </c:pt>
                <c:pt idx="270">
                  <c:v>6.3</c:v>
                </c:pt>
                <c:pt idx="271">
                  <c:v>6.3</c:v>
                </c:pt>
                <c:pt idx="272">
                  <c:v>6.3</c:v>
                </c:pt>
                <c:pt idx="273">
                  <c:v>6.3</c:v>
                </c:pt>
                <c:pt idx="274">
                  <c:v>6.3</c:v>
                </c:pt>
                <c:pt idx="275">
                  <c:v>6.4</c:v>
                </c:pt>
                <c:pt idx="276">
                  <c:v>6.4</c:v>
                </c:pt>
                <c:pt idx="277">
                  <c:v>6.4</c:v>
                </c:pt>
                <c:pt idx="278">
                  <c:v>6.4</c:v>
                </c:pt>
                <c:pt idx="279">
                  <c:v>6.4</c:v>
                </c:pt>
                <c:pt idx="280">
                  <c:v>6.4</c:v>
                </c:pt>
                <c:pt idx="281">
                  <c:v>6.5</c:v>
                </c:pt>
                <c:pt idx="282">
                  <c:v>6.5</c:v>
                </c:pt>
                <c:pt idx="283">
                  <c:v>6.5</c:v>
                </c:pt>
                <c:pt idx="284">
                  <c:v>6.5</c:v>
                </c:pt>
                <c:pt idx="285">
                  <c:v>6.5</c:v>
                </c:pt>
                <c:pt idx="286">
                  <c:v>6.6</c:v>
                </c:pt>
                <c:pt idx="287">
                  <c:v>6.6</c:v>
                </c:pt>
                <c:pt idx="288">
                  <c:v>6.6</c:v>
                </c:pt>
                <c:pt idx="289">
                  <c:v>6.6</c:v>
                </c:pt>
                <c:pt idx="290">
                  <c:v>6.6</c:v>
                </c:pt>
                <c:pt idx="291">
                  <c:v>6.7</c:v>
                </c:pt>
                <c:pt idx="292">
                  <c:v>6.7</c:v>
                </c:pt>
                <c:pt idx="293">
                  <c:v>6.7</c:v>
                </c:pt>
                <c:pt idx="294">
                  <c:v>6.7</c:v>
                </c:pt>
                <c:pt idx="295">
                  <c:v>6.8</c:v>
                </c:pt>
                <c:pt idx="296">
                  <c:v>6.8</c:v>
                </c:pt>
                <c:pt idx="297">
                  <c:v>6.8</c:v>
                </c:pt>
                <c:pt idx="298">
                  <c:v>6.8</c:v>
                </c:pt>
                <c:pt idx="299">
                  <c:v>6.9</c:v>
                </c:pt>
                <c:pt idx="300">
                  <c:v>6.9</c:v>
                </c:pt>
                <c:pt idx="301">
                  <c:v>6.9</c:v>
                </c:pt>
                <c:pt idx="302">
                  <c:v>6.9</c:v>
                </c:pt>
                <c:pt idx="303">
                  <c:v>7</c:v>
                </c:pt>
                <c:pt idx="304">
                  <c:v>7</c:v>
                </c:pt>
                <c:pt idx="305">
                  <c:v>7</c:v>
                </c:pt>
                <c:pt idx="306">
                  <c:v>7</c:v>
                </c:pt>
                <c:pt idx="307">
                  <c:v>7.1</c:v>
                </c:pt>
                <c:pt idx="308">
                  <c:v>7.1</c:v>
                </c:pt>
                <c:pt idx="309">
                  <c:v>7.1</c:v>
                </c:pt>
                <c:pt idx="310">
                  <c:v>7.2</c:v>
                </c:pt>
                <c:pt idx="311">
                  <c:v>7.2</c:v>
                </c:pt>
                <c:pt idx="312">
                  <c:v>7.2</c:v>
                </c:pt>
                <c:pt idx="313">
                  <c:v>7.3</c:v>
                </c:pt>
                <c:pt idx="314">
                  <c:v>7.3</c:v>
                </c:pt>
                <c:pt idx="315">
                  <c:v>7.3</c:v>
                </c:pt>
                <c:pt idx="316">
                  <c:v>7.4</c:v>
                </c:pt>
                <c:pt idx="317">
                  <c:v>7.4</c:v>
                </c:pt>
                <c:pt idx="318">
                  <c:v>7.4</c:v>
                </c:pt>
                <c:pt idx="319">
                  <c:v>7.5</c:v>
                </c:pt>
                <c:pt idx="320">
                  <c:v>7.5</c:v>
                </c:pt>
                <c:pt idx="321">
                  <c:v>7.5</c:v>
                </c:pt>
                <c:pt idx="322">
                  <c:v>7.6</c:v>
                </c:pt>
                <c:pt idx="323">
                  <c:v>7.6</c:v>
                </c:pt>
                <c:pt idx="324">
                  <c:v>7.6</c:v>
                </c:pt>
                <c:pt idx="325">
                  <c:v>7.7</c:v>
                </c:pt>
                <c:pt idx="326">
                  <c:v>7.7</c:v>
                </c:pt>
                <c:pt idx="327">
                  <c:v>7.7</c:v>
                </c:pt>
                <c:pt idx="328">
                  <c:v>7.8</c:v>
                </c:pt>
                <c:pt idx="329">
                  <c:v>7.8</c:v>
                </c:pt>
                <c:pt idx="330">
                  <c:v>7.9</c:v>
                </c:pt>
                <c:pt idx="331">
                  <c:v>7.9</c:v>
                </c:pt>
                <c:pt idx="332">
                  <c:v>7.9</c:v>
                </c:pt>
                <c:pt idx="333">
                  <c:v>8</c:v>
                </c:pt>
                <c:pt idx="334">
                  <c:v>8</c:v>
                </c:pt>
                <c:pt idx="335">
                  <c:v>8.1</c:v>
                </c:pt>
                <c:pt idx="336">
                  <c:v>8.1</c:v>
                </c:pt>
                <c:pt idx="337">
                  <c:v>8.1</c:v>
                </c:pt>
                <c:pt idx="338">
                  <c:v>8.1999999999999993</c:v>
                </c:pt>
                <c:pt idx="339">
                  <c:v>8.1999999999999993</c:v>
                </c:pt>
                <c:pt idx="340">
                  <c:v>8.3000000000000007</c:v>
                </c:pt>
                <c:pt idx="341">
                  <c:v>8.3000000000000007</c:v>
                </c:pt>
                <c:pt idx="342">
                  <c:v>8.4</c:v>
                </c:pt>
                <c:pt idx="343">
                  <c:v>8.4</c:v>
                </c:pt>
                <c:pt idx="344">
                  <c:v>8.5</c:v>
                </c:pt>
                <c:pt idx="345">
                  <c:v>8.5</c:v>
                </c:pt>
                <c:pt idx="346">
                  <c:v>8.6</c:v>
                </c:pt>
                <c:pt idx="347">
                  <c:v>8.6</c:v>
                </c:pt>
                <c:pt idx="348">
                  <c:v>8.6999999999999993</c:v>
                </c:pt>
                <c:pt idx="349">
                  <c:v>8.6999999999999993</c:v>
                </c:pt>
                <c:pt idx="350">
                  <c:v>8.8000000000000007</c:v>
                </c:pt>
                <c:pt idx="351">
                  <c:v>8.8000000000000007</c:v>
                </c:pt>
                <c:pt idx="352">
                  <c:v>8.9</c:v>
                </c:pt>
                <c:pt idx="353">
                  <c:v>8.9</c:v>
                </c:pt>
                <c:pt idx="354">
                  <c:v>9</c:v>
                </c:pt>
                <c:pt idx="355">
                  <c:v>9</c:v>
                </c:pt>
                <c:pt idx="356">
                  <c:v>9.1</c:v>
                </c:pt>
                <c:pt idx="357">
                  <c:v>9.1</c:v>
                </c:pt>
                <c:pt idx="358">
                  <c:v>9.1999999999999993</c:v>
                </c:pt>
                <c:pt idx="359">
                  <c:v>9.1999999999999993</c:v>
                </c:pt>
                <c:pt idx="360">
                  <c:v>9.3000000000000007</c:v>
                </c:pt>
                <c:pt idx="361">
                  <c:v>9.4</c:v>
                </c:pt>
                <c:pt idx="362">
                  <c:v>9.4</c:v>
                </c:pt>
                <c:pt idx="363">
                  <c:v>9.5</c:v>
                </c:pt>
                <c:pt idx="364">
                  <c:v>9.5</c:v>
                </c:pt>
                <c:pt idx="365">
                  <c:v>9.6</c:v>
                </c:pt>
                <c:pt idx="366">
                  <c:v>9.6999999999999993</c:v>
                </c:pt>
                <c:pt idx="367">
                  <c:v>9.6999999999999993</c:v>
                </c:pt>
                <c:pt idx="368">
                  <c:v>9.8000000000000007</c:v>
                </c:pt>
                <c:pt idx="369">
                  <c:v>9.9</c:v>
                </c:pt>
                <c:pt idx="370">
                  <c:v>9.9</c:v>
                </c:pt>
                <c:pt idx="371">
                  <c:v>10</c:v>
                </c:pt>
                <c:pt idx="372">
                  <c:v>10.1</c:v>
                </c:pt>
                <c:pt idx="373">
                  <c:v>10.199999999999999</c:v>
                </c:pt>
                <c:pt idx="374">
                  <c:v>10.199999999999999</c:v>
                </c:pt>
                <c:pt idx="375">
                  <c:v>10.3</c:v>
                </c:pt>
                <c:pt idx="376">
                  <c:v>10.4</c:v>
                </c:pt>
                <c:pt idx="377">
                  <c:v>10.4</c:v>
                </c:pt>
                <c:pt idx="378">
                  <c:v>10.5</c:v>
                </c:pt>
                <c:pt idx="379">
                  <c:v>10.6</c:v>
                </c:pt>
                <c:pt idx="380">
                  <c:v>10.7</c:v>
                </c:pt>
                <c:pt idx="381">
                  <c:v>10.8</c:v>
                </c:pt>
                <c:pt idx="382">
                  <c:v>10.8</c:v>
                </c:pt>
                <c:pt idx="383">
                  <c:v>10.9</c:v>
                </c:pt>
                <c:pt idx="384">
                  <c:v>11</c:v>
                </c:pt>
                <c:pt idx="385">
                  <c:v>11.1</c:v>
                </c:pt>
                <c:pt idx="386">
                  <c:v>11.2</c:v>
                </c:pt>
                <c:pt idx="387">
                  <c:v>11.3</c:v>
                </c:pt>
                <c:pt idx="388">
                  <c:v>11.4</c:v>
                </c:pt>
                <c:pt idx="389">
                  <c:v>11.5</c:v>
                </c:pt>
                <c:pt idx="390">
                  <c:v>11.5</c:v>
                </c:pt>
                <c:pt idx="391">
                  <c:v>11.6</c:v>
                </c:pt>
                <c:pt idx="392">
                  <c:v>11.7</c:v>
                </c:pt>
                <c:pt idx="393">
                  <c:v>11.8</c:v>
                </c:pt>
                <c:pt idx="394">
                  <c:v>11.9</c:v>
                </c:pt>
                <c:pt idx="395">
                  <c:v>12</c:v>
                </c:pt>
                <c:pt idx="396">
                  <c:v>12.1</c:v>
                </c:pt>
                <c:pt idx="397">
                  <c:v>12.2</c:v>
                </c:pt>
                <c:pt idx="398">
                  <c:v>12.3</c:v>
                </c:pt>
                <c:pt idx="399">
                  <c:v>12.5</c:v>
                </c:pt>
                <c:pt idx="400">
                  <c:v>12.6</c:v>
                </c:pt>
                <c:pt idx="401">
                  <c:v>12.7</c:v>
                </c:pt>
                <c:pt idx="402">
                  <c:v>12.8</c:v>
                </c:pt>
                <c:pt idx="403">
                  <c:v>12.9</c:v>
                </c:pt>
                <c:pt idx="404">
                  <c:v>13</c:v>
                </c:pt>
                <c:pt idx="405">
                  <c:v>13.1</c:v>
                </c:pt>
                <c:pt idx="406">
                  <c:v>13.3</c:v>
                </c:pt>
                <c:pt idx="407">
                  <c:v>13.4</c:v>
                </c:pt>
                <c:pt idx="408">
                  <c:v>13.5</c:v>
                </c:pt>
                <c:pt idx="409">
                  <c:v>13.6</c:v>
                </c:pt>
                <c:pt idx="410">
                  <c:v>13.8</c:v>
                </c:pt>
                <c:pt idx="411">
                  <c:v>13.9</c:v>
                </c:pt>
                <c:pt idx="412">
                  <c:v>14</c:v>
                </c:pt>
                <c:pt idx="413">
                  <c:v>14.2</c:v>
                </c:pt>
                <c:pt idx="414">
                  <c:v>14.3</c:v>
                </c:pt>
                <c:pt idx="415">
                  <c:v>14.5</c:v>
                </c:pt>
                <c:pt idx="416">
                  <c:v>14.6</c:v>
                </c:pt>
                <c:pt idx="417">
                  <c:v>14.8</c:v>
                </c:pt>
                <c:pt idx="418">
                  <c:v>14.9</c:v>
                </c:pt>
                <c:pt idx="419">
                  <c:v>15.1</c:v>
                </c:pt>
                <c:pt idx="420">
                  <c:v>15.2</c:v>
                </c:pt>
                <c:pt idx="421">
                  <c:v>15.4</c:v>
                </c:pt>
                <c:pt idx="422">
                  <c:v>15.5</c:v>
                </c:pt>
                <c:pt idx="423">
                  <c:v>15.7</c:v>
                </c:pt>
                <c:pt idx="424">
                  <c:v>15.9</c:v>
                </c:pt>
                <c:pt idx="425">
                  <c:v>16.100000000000001</c:v>
                </c:pt>
                <c:pt idx="426">
                  <c:v>16.2</c:v>
                </c:pt>
                <c:pt idx="427">
                  <c:v>16.399999999999999</c:v>
                </c:pt>
                <c:pt idx="428">
                  <c:v>16.600000000000001</c:v>
                </c:pt>
                <c:pt idx="429">
                  <c:v>16.8</c:v>
                </c:pt>
                <c:pt idx="430">
                  <c:v>17</c:v>
                </c:pt>
                <c:pt idx="431">
                  <c:v>17.2</c:v>
                </c:pt>
                <c:pt idx="432">
                  <c:v>17.399999999999999</c:v>
                </c:pt>
                <c:pt idx="433">
                  <c:v>17.600000000000001</c:v>
                </c:pt>
                <c:pt idx="434">
                  <c:v>17.8</c:v>
                </c:pt>
                <c:pt idx="435">
                  <c:v>18</c:v>
                </c:pt>
                <c:pt idx="436">
                  <c:v>18.2</c:v>
                </c:pt>
                <c:pt idx="437">
                  <c:v>18.5</c:v>
                </c:pt>
                <c:pt idx="438">
                  <c:v>18.7</c:v>
                </c:pt>
                <c:pt idx="439">
                  <c:v>18.899999999999999</c:v>
                </c:pt>
                <c:pt idx="440">
                  <c:v>19.2</c:v>
                </c:pt>
                <c:pt idx="441">
                  <c:v>19.399999999999999</c:v>
                </c:pt>
                <c:pt idx="442">
                  <c:v>19.600000000000001</c:v>
                </c:pt>
                <c:pt idx="443">
                  <c:v>19.899999999999999</c:v>
                </c:pt>
                <c:pt idx="444">
                  <c:v>20.2</c:v>
                </c:pt>
                <c:pt idx="445">
                  <c:v>20.399999999999999</c:v>
                </c:pt>
                <c:pt idx="446">
                  <c:v>20.7</c:v>
                </c:pt>
                <c:pt idx="447">
                  <c:v>21</c:v>
                </c:pt>
                <c:pt idx="448">
                  <c:v>21.3</c:v>
                </c:pt>
                <c:pt idx="449">
                  <c:v>21.6</c:v>
                </c:pt>
                <c:pt idx="450">
                  <c:v>21.9</c:v>
                </c:pt>
                <c:pt idx="451">
                  <c:v>22.2</c:v>
                </c:pt>
                <c:pt idx="452">
                  <c:v>22.5</c:v>
                </c:pt>
                <c:pt idx="453">
                  <c:v>22.8</c:v>
                </c:pt>
                <c:pt idx="454">
                  <c:v>23.2</c:v>
                </c:pt>
                <c:pt idx="455">
                  <c:v>23.5</c:v>
                </c:pt>
                <c:pt idx="456">
                  <c:v>23.8</c:v>
                </c:pt>
                <c:pt idx="457">
                  <c:v>24.2</c:v>
                </c:pt>
                <c:pt idx="458">
                  <c:v>24.6</c:v>
                </c:pt>
                <c:pt idx="459">
                  <c:v>25</c:v>
                </c:pt>
                <c:pt idx="460">
                  <c:v>25.3</c:v>
                </c:pt>
                <c:pt idx="461">
                  <c:v>25.7</c:v>
                </c:pt>
                <c:pt idx="462">
                  <c:v>26.2</c:v>
                </c:pt>
                <c:pt idx="463">
                  <c:v>26.6</c:v>
                </c:pt>
                <c:pt idx="464">
                  <c:v>27</c:v>
                </c:pt>
                <c:pt idx="465">
                  <c:v>27.5</c:v>
                </c:pt>
                <c:pt idx="466">
                  <c:v>27.9</c:v>
                </c:pt>
                <c:pt idx="467">
                  <c:v>28.4</c:v>
                </c:pt>
                <c:pt idx="468">
                  <c:v>28.9</c:v>
                </c:pt>
                <c:pt idx="469">
                  <c:v>29.4</c:v>
                </c:pt>
                <c:pt idx="470">
                  <c:v>29.9</c:v>
                </c:pt>
                <c:pt idx="471">
                  <c:v>30.4</c:v>
                </c:pt>
                <c:pt idx="472">
                  <c:v>31</c:v>
                </c:pt>
                <c:pt idx="473">
                  <c:v>31.5</c:v>
                </c:pt>
                <c:pt idx="474">
                  <c:v>32.1</c:v>
                </c:pt>
                <c:pt idx="475">
                  <c:v>32.700000000000003</c:v>
                </c:pt>
                <c:pt idx="476">
                  <c:v>33.299999999999997</c:v>
                </c:pt>
                <c:pt idx="477">
                  <c:v>34</c:v>
                </c:pt>
                <c:pt idx="478">
                  <c:v>34.700000000000003</c:v>
                </c:pt>
                <c:pt idx="479">
                  <c:v>35.299999999999997</c:v>
                </c:pt>
                <c:pt idx="480">
                  <c:v>36</c:v>
                </c:pt>
                <c:pt idx="481">
                  <c:v>36.799999999999997</c:v>
                </c:pt>
                <c:pt idx="482">
                  <c:v>37.5</c:v>
                </c:pt>
                <c:pt idx="483">
                  <c:v>38.299999999999997</c:v>
                </c:pt>
                <c:pt idx="484">
                  <c:v>39.200000000000003</c:v>
                </c:pt>
                <c:pt idx="485">
                  <c:v>40</c:v>
                </c:pt>
                <c:pt idx="486">
                  <c:v>40.9</c:v>
                </c:pt>
                <c:pt idx="487">
                  <c:v>41.8</c:v>
                </c:pt>
                <c:pt idx="488">
                  <c:v>42.8</c:v>
                </c:pt>
                <c:pt idx="489">
                  <c:v>43.8</c:v>
                </c:pt>
                <c:pt idx="490">
                  <c:v>44.8</c:v>
                </c:pt>
                <c:pt idx="491">
                  <c:v>45.9</c:v>
                </c:pt>
                <c:pt idx="492">
                  <c:v>47</c:v>
                </c:pt>
                <c:pt idx="493">
                  <c:v>48.3</c:v>
                </c:pt>
                <c:pt idx="494">
                  <c:v>49.5</c:v>
                </c:pt>
                <c:pt idx="495">
                  <c:v>50.8</c:v>
                </c:pt>
                <c:pt idx="496">
                  <c:v>52.2</c:v>
                </c:pt>
                <c:pt idx="497">
                  <c:v>53.7</c:v>
                </c:pt>
                <c:pt idx="498">
                  <c:v>55.2</c:v>
                </c:pt>
                <c:pt idx="499">
                  <c:v>56.9</c:v>
                </c:pt>
                <c:pt idx="500">
                  <c:v>58.6</c:v>
                </c:pt>
                <c:pt idx="501">
                  <c:v>60.4</c:v>
                </c:pt>
                <c:pt idx="502">
                  <c:v>62.4</c:v>
                </c:pt>
                <c:pt idx="503">
                  <c:v>64.5</c:v>
                </c:pt>
                <c:pt idx="504">
                  <c:v>66.7</c:v>
                </c:pt>
                <c:pt idx="505">
                  <c:v>69.2</c:v>
                </c:pt>
                <c:pt idx="506">
                  <c:v>71.599999999999994</c:v>
                </c:pt>
                <c:pt idx="507">
                  <c:v>74.3</c:v>
                </c:pt>
                <c:pt idx="508">
                  <c:v>77.2</c:v>
                </c:pt>
                <c:pt idx="509">
                  <c:v>80.400000000000006</c:v>
                </c:pt>
                <c:pt idx="510">
                  <c:v>84</c:v>
                </c:pt>
                <c:pt idx="511">
                  <c:v>87.4</c:v>
                </c:pt>
                <c:pt idx="512">
                  <c:v>91</c:v>
                </c:pt>
                <c:pt idx="513">
                  <c:v>95.2</c:v>
                </c:pt>
                <c:pt idx="514">
                  <c:v>99.8</c:v>
                </c:pt>
                <c:pt idx="515">
                  <c:v>105.1</c:v>
                </c:pt>
                <c:pt idx="516">
                  <c:v>110</c:v>
                </c:pt>
                <c:pt idx="517">
                  <c:v>114.9</c:v>
                </c:pt>
                <c:pt idx="518">
                  <c:v>120.4</c:v>
                </c:pt>
                <c:pt idx="519">
                  <c:v>126.8</c:v>
                </c:pt>
                <c:pt idx="520">
                  <c:v>134.30000000000001</c:v>
                </c:pt>
                <c:pt idx="521">
                  <c:v>141.80000000000001</c:v>
                </c:pt>
                <c:pt idx="522">
                  <c:v>147.1</c:v>
                </c:pt>
                <c:pt idx="523">
                  <c:v>153.80000000000001</c:v>
                </c:pt>
                <c:pt idx="524">
                  <c:v>161.6</c:v>
                </c:pt>
                <c:pt idx="525">
                  <c:v>170.7</c:v>
                </c:pt>
                <c:pt idx="526">
                  <c:v>183.2</c:v>
                </c:pt>
                <c:pt idx="527">
                  <c:v>185.8</c:v>
                </c:pt>
                <c:pt idx="528">
                  <c:v>192.2</c:v>
                </c:pt>
                <c:pt idx="529">
                  <c:v>199.9</c:v>
                </c:pt>
                <c:pt idx="530">
                  <c:v>208.5</c:v>
                </c:pt>
                <c:pt idx="531">
                  <c:v>219.1</c:v>
                </c:pt>
                <c:pt idx="532">
                  <c:v>223.3</c:v>
                </c:pt>
                <c:pt idx="533">
                  <c:v>227.2</c:v>
                </c:pt>
                <c:pt idx="534">
                  <c:v>232.4</c:v>
                </c:pt>
                <c:pt idx="535">
                  <c:v>238.1</c:v>
                </c:pt>
                <c:pt idx="536">
                  <c:v>244.1</c:v>
                </c:pt>
                <c:pt idx="537">
                  <c:v>248.7</c:v>
                </c:pt>
                <c:pt idx="538">
                  <c:v>249.8</c:v>
                </c:pt>
                <c:pt idx="539">
                  <c:v>252</c:v>
                </c:pt>
                <c:pt idx="540">
                  <c:v>254.4</c:v>
                </c:pt>
                <c:pt idx="541">
                  <c:v>256.7</c:v>
                </c:pt>
                <c:pt idx="542">
                  <c:v>258.7</c:v>
                </c:pt>
                <c:pt idx="543">
                  <c:v>259.3</c:v>
                </c:pt>
                <c:pt idx="544">
                  <c:v>260.10000000000002</c:v>
                </c:pt>
                <c:pt idx="545">
                  <c:v>260.8</c:v>
                </c:pt>
                <c:pt idx="546">
                  <c:v>261.5</c:v>
                </c:pt>
                <c:pt idx="547">
                  <c:v>262.10000000000002</c:v>
                </c:pt>
                <c:pt idx="548">
                  <c:v>262.60000000000002</c:v>
                </c:pt>
                <c:pt idx="549">
                  <c:v>262.89999999999998</c:v>
                </c:pt>
                <c:pt idx="550">
                  <c:v>263.2</c:v>
                </c:pt>
                <c:pt idx="551">
                  <c:v>263.5</c:v>
                </c:pt>
                <c:pt idx="552">
                  <c:v>263.8</c:v>
                </c:pt>
                <c:pt idx="553">
                  <c:v>264</c:v>
                </c:pt>
                <c:pt idx="554">
                  <c:v>264.2</c:v>
                </c:pt>
                <c:pt idx="555">
                  <c:v>264.39999999999998</c:v>
                </c:pt>
                <c:pt idx="556">
                  <c:v>264.60000000000002</c:v>
                </c:pt>
                <c:pt idx="557">
                  <c:v>264.7</c:v>
                </c:pt>
                <c:pt idx="558">
                  <c:v>264.89999999999998</c:v>
                </c:pt>
                <c:pt idx="559">
                  <c:v>265</c:v>
                </c:pt>
                <c:pt idx="560">
                  <c:v>265.10000000000002</c:v>
                </c:pt>
                <c:pt idx="561">
                  <c:v>265.2</c:v>
                </c:pt>
                <c:pt idx="562">
                  <c:v>265.3</c:v>
                </c:pt>
                <c:pt idx="563">
                  <c:v>265.39999999999998</c:v>
                </c:pt>
                <c:pt idx="564">
                  <c:v>265.5</c:v>
                </c:pt>
                <c:pt idx="565">
                  <c:v>265.5</c:v>
                </c:pt>
                <c:pt idx="566">
                  <c:v>265.60000000000002</c:v>
                </c:pt>
                <c:pt idx="567">
                  <c:v>265.7</c:v>
                </c:pt>
                <c:pt idx="568">
                  <c:v>265.7</c:v>
                </c:pt>
                <c:pt idx="569">
                  <c:v>265.8</c:v>
                </c:pt>
                <c:pt idx="570">
                  <c:v>265.8</c:v>
                </c:pt>
                <c:pt idx="571">
                  <c:v>265.89999999999998</c:v>
                </c:pt>
                <c:pt idx="572">
                  <c:v>265.89999999999998</c:v>
                </c:pt>
                <c:pt idx="573">
                  <c:v>266</c:v>
                </c:pt>
                <c:pt idx="574">
                  <c:v>266</c:v>
                </c:pt>
                <c:pt idx="575">
                  <c:v>266.10000000000002</c:v>
                </c:pt>
                <c:pt idx="576">
                  <c:v>266.10000000000002</c:v>
                </c:pt>
                <c:pt idx="577">
                  <c:v>266.10000000000002</c:v>
                </c:pt>
                <c:pt idx="578">
                  <c:v>266.10000000000002</c:v>
                </c:pt>
                <c:pt idx="579">
                  <c:v>266.10000000000002</c:v>
                </c:pt>
                <c:pt idx="580">
                  <c:v>266.2</c:v>
                </c:pt>
                <c:pt idx="581">
                  <c:v>266.2</c:v>
                </c:pt>
                <c:pt idx="582">
                  <c:v>266.2</c:v>
                </c:pt>
                <c:pt idx="583">
                  <c:v>266.2</c:v>
                </c:pt>
                <c:pt idx="584">
                  <c:v>266.2</c:v>
                </c:pt>
                <c:pt idx="585">
                  <c:v>266.3</c:v>
                </c:pt>
                <c:pt idx="586">
                  <c:v>266.3</c:v>
                </c:pt>
                <c:pt idx="587">
                  <c:v>266.3</c:v>
                </c:pt>
                <c:pt idx="588">
                  <c:v>266.3</c:v>
                </c:pt>
                <c:pt idx="589">
                  <c:v>266.3</c:v>
                </c:pt>
                <c:pt idx="590">
                  <c:v>266.3</c:v>
                </c:pt>
                <c:pt idx="591">
                  <c:v>266.39999999999998</c:v>
                </c:pt>
                <c:pt idx="592">
                  <c:v>266.39999999999998</c:v>
                </c:pt>
                <c:pt idx="593">
                  <c:v>266.39999999999998</c:v>
                </c:pt>
                <c:pt idx="594">
                  <c:v>266.39999999999998</c:v>
                </c:pt>
                <c:pt idx="595">
                  <c:v>266.39999999999998</c:v>
                </c:pt>
                <c:pt idx="596">
                  <c:v>266.39999999999998</c:v>
                </c:pt>
                <c:pt idx="597">
                  <c:v>266.39999999999998</c:v>
                </c:pt>
                <c:pt idx="598">
                  <c:v>266.39999999999998</c:v>
                </c:pt>
                <c:pt idx="599">
                  <c:v>266.3</c:v>
                </c:pt>
                <c:pt idx="600">
                  <c:v>266.3</c:v>
                </c:pt>
                <c:pt idx="601">
                  <c:v>266.3</c:v>
                </c:pt>
                <c:pt idx="602">
                  <c:v>266.3</c:v>
                </c:pt>
                <c:pt idx="603">
                  <c:v>266.3</c:v>
                </c:pt>
                <c:pt idx="604">
                  <c:v>266.3</c:v>
                </c:pt>
                <c:pt idx="605">
                  <c:v>266.2</c:v>
                </c:pt>
                <c:pt idx="606">
                  <c:v>266.2</c:v>
                </c:pt>
                <c:pt idx="607">
                  <c:v>266.2</c:v>
                </c:pt>
                <c:pt idx="608">
                  <c:v>266.2</c:v>
                </c:pt>
                <c:pt idx="609">
                  <c:v>266.10000000000002</c:v>
                </c:pt>
                <c:pt idx="610">
                  <c:v>266.10000000000002</c:v>
                </c:pt>
                <c:pt idx="611">
                  <c:v>266.10000000000002</c:v>
                </c:pt>
                <c:pt idx="612">
                  <c:v>266</c:v>
                </c:pt>
                <c:pt idx="613">
                  <c:v>266</c:v>
                </c:pt>
                <c:pt idx="614">
                  <c:v>265.89999999999998</c:v>
                </c:pt>
                <c:pt idx="615">
                  <c:v>265.8</c:v>
                </c:pt>
                <c:pt idx="616">
                  <c:v>265.7</c:v>
                </c:pt>
                <c:pt idx="617">
                  <c:v>265.60000000000002</c:v>
                </c:pt>
                <c:pt idx="618">
                  <c:v>265.5</c:v>
                </c:pt>
                <c:pt idx="619">
                  <c:v>265.39999999999998</c:v>
                </c:pt>
                <c:pt idx="620">
                  <c:v>265.2</c:v>
                </c:pt>
                <c:pt idx="621">
                  <c:v>265.10000000000002</c:v>
                </c:pt>
                <c:pt idx="622">
                  <c:v>264.89999999999998</c:v>
                </c:pt>
                <c:pt idx="623">
                  <c:v>264.7</c:v>
                </c:pt>
                <c:pt idx="624">
                  <c:v>264.39999999999998</c:v>
                </c:pt>
                <c:pt idx="625">
                  <c:v>264.2</c:v>
                </c:pt>
                <c:pt idx="626">
                  <c:v>263.89999999999998</c:v>
                </c:pt>
                <c:pt idx="627">
                  <c:v>263.60000000000002</c:v>
                </c:pt>
                <c:pt idx="628">
                  <c:v>263.2</c:v>
                </c:pt>
                <c:pt idx="629">
                  <c:v>262.8</c:v>
                </c:pt>
                <c:pt idx="630">
                  <c:v>262.39999999999998</c:v>
                </c:pt>
                <c:pt idx="631">
                  <c:v>261.89999999999998</c:v>
                </c:pt>
                <c:pt idx="632">
                  <c:v>261.3</c:v>
                </c:pt>
                <c:pt idx="633">
                  <c:v>260.3</c:v>
                </c:pt>
                <c:pt idx="634">
                  <c:v>259.2</c:v>
                </c:pt>
                <c:pt idx="635">
                  <c:v>258</c:v>
                </c:pt>
                <c:pt idx="636">
                  <c:v>257</c:v>
                </c:pt>
                <c:pt idx="637">
                  <c:v>256.10000000000002</c:v>
                </c:pt>
                <c:pt idx="638">
                  <c:v>252.8</c:v>
                </c:pt>
                <c:pt idx="639">
                  <c:v>249.4</c:v>
                </c:pt>
                <c:pt idx="640">
                  <c:v>246</c:v>
                </c:pt>
                <c:pt idx="641">
                  <c:v>243</c:v>
                </c:pt>
                <c:pt idx="642">
                  <c:v>241.5</c:v>
                </c:pt>
                <c:pt idx="643">
                  <c:v>235.2</c:v>
                </c:pt>
                <c:pt idx="644">
                  <c:v>228.2</c:v>
                </c:pt>
                <c:pt idx="645">
                  <c:v>221.7</c:v>
                </c:pt>
                <c:pt idx="646">
                  <c:v>215.9</c:v>
                </c:pt>
                <c:pt idx="647">
                  <c:v>211.2</c:v>
                </c:pt>
                <c:pt idx="648">
                  <c:v>205.8</c:v>
                </c:pt>
                <c:pt idx="649">
                  <c:v>196</c:v>
                </c:pt>
                <c:pt idx="650">
                  <c:v>187.9</c:v>
                </c:pt>
                <c:pt idx="651">
                  <c:v>180.6</c:v>
                </c:pt>
                <c:pt idx="652">
                  <c:v>174.4</c:v>
                </c:pt>
                <c:pt idx="653">
                  <c:v>170.9</c:v>
                </c:pt>
                <c:pt idx="654">
                  <c:v>160.6</c:v>
                </c:pt>
                <c:pt idx="655">
                  <c:v>153</c:v>
                </c:pt>
                <c:pt idx="656">
                  <c:v>146.19999999999999</c:v>
                </c:pt>
                <c:pt idx="657">
                  <c:v>140.30000000000001</c:v>
                </c:pt>
                <c:pt idx="658">
                  <c:v>135.4</c:v>
                </c:pt>
                <c:pt idx="659">
                  <c:v>129.30000000000001</c:v>
                </c:pt>
                <c:pt idx="660">
                  <c:v>123.3</c:v>
                </c:pt>
                <c:pt idx="661">
                  <c:v>118</c:v>
                </c:pt>
                <c:pt idx="662">
                  <c:v>113.3</c:v>
                </c:pt>
                <c:pt idx="663">
                  <c:v>109.1</c:v>
                </c:pt>
                <c:pt idx="664">
                  <c:v>105.1</c:v>
                </c:pt>
                <c:pt idx="665">
                  <c:v>100.8</c:v>
                </c:pt>
                <c:pt idx="666">
                  <c:v>97</c:v>
                </c:pt>
                <c:pt idx="667">
                  <c:v>93.5</c:v>
                </c:pt>
                <c:pt idx="668">
                  <c:v>90.3</c:v>
                </c:pt>
                <c:pt idx="669">
                  <c:v>87.5</c:v>
                </c:pt>
                <c:pt idx="670">
                  <c:v>84.5</c:v>
                </c:pt>
                <c:pt idx="671">
                  <c:v>81.7</c:v>
                </c:pt>
                <c:pt idx="672">
                  <c:v>79.2</c:v>
                </c:pt>
                <c:pt idx="673">
                  <c:v>76.900000000000006</c:v>
                </c:pt>
                <c:pt idx="674">
                  <c:v>74.7</c:v>
                </c:pt>
                <c:pt idx="675">
                  <c:v>72.599999999999994</c:v>
                </c:pt>
                <c:pt idx="676">
                  <c:v>70.599999999999994</c:v>
                </c:pt>
                <c:pt idx="677">
                  <c:v>68.7</c:v>
                </c:pt>
                <c:pt idx="678">
                  <c:v>66.900000000000006</c:v>
                </c:pt>
                <c:pt idx="679">
                  <c:v>65.2</c:v>
                </c:pt>
                <c:pt idx="680">
                  <c:v>63.6</c:v>
                </c:pt>
                <c:pt idx="681">
                  <c:v>62.1</c:v>
                </c:pt>
                <c:pt idx="682">
                  <c:v>60.6</c:v>
                </c:pt>
                <c:pt idx="683">
                  <c:v>59.2</c:v>
                </c:pt>
                <c:pt idx="684">
                  <c:v>57.9</c:v>
                </c:pt>
                <c:pt idx="685">
                  <c:v>56.7</c:v>
                </c:pt>
                <c:pt idx="686">
                  <c:v>55.5</c:v>
                </c:pt>
                <c:pt idx="687">
                  <c:v>54.3</c:v>
                </c:pt>
                <c:pt idx="688">
                  <c:v>53.2</c:v>
                </c:pt>
                <c:pt idx="689">
                  <c:v>52.1</c:v>
                </c:pt>
                <c:pt idx="690">
                  <c:v>51.1</c:v>
                </c:pt>
                <c:pt idx="691">
                  <c:v>50.1</c:v>
                </c:pt>
                <c:pt idx="692">
                  <c:v>49.2</c:v>
                </c:pt>
                <c:pt idx="693">
                  <c:v>48.3</c:v>
                </c:pt>
                <c:pt idx="694">
                  <c:v>47.4</c:v>
                </c:pt>
                <c:pt idx="695">
                  <c:v>46.5</c:v>
                </c:pt>
                <c:pt idx="696">
                  <c:v>45.7</c:v>
                </c:pt>
                <c:pt idx="697">
                  <c:v>44.9</c:v>
                </c:pt>
                <c:pt idx="698">
                  <c:v>44.1</c:v>
                </c:pt>
                <c:pt idx="699">
                  <c:v>43.4</c:v>
                </c:pt>
                <c:pt idx="700">
                  <c:v>42.7</c:v>
                </c:pt>
                <c:pt idx="701">
                  <c:v>42</c:v>
                </c:pt>
                <c:pt idx="702">
                  <c:v>41.3</c:v>
                </c:pt>
                <c:pt idx="703">
                  <c:v>40.6</c:v>
                </c:pt>
                <c:pt idx="704">
                  <c:v>40</c:v>
                </c:pt>
                <c:pt idx="705">
                  <c:v>39.4</c:v>
                </c:pt>
                <c:pt idx="706">
                  <c:v>38.799999999999997</c:v>
                </c:pt>
                <c:pt idx="707">
                  <c:v>38.200000000000003</c:v>
                </c:pt>
                <c:pt idx="708">
                  <c:v>37.6</c:v>
                </c:pt>
                <c:pt idx="709">
                  <c:v>37</c:v>
                </c:pt>
                <c:pt idx="710">
                  <c:v>36.5</c:v>
                </c:pt>
                <c:pt idx="711">
                  <c:v>36</c:v>
                </c:pt>
                <c:pt idx="712">
                  <c:v>35.5</c:v>
                </c:pt>
                <c:pt idx="713">
                  <c:v>35</c:v>
                </c:pt>
                <c:pt idx="714">
                  <c:v>34.5</c:v>
                </c:pt>
                <c:pt idx="715">
                  <c:v>34</c:v>
                </c:pt>
                <c:pt idx="716">
                  <c:v>33.6</c:v>
                </c:pt>
                <c:pt idx="717">
                  <c:v>33.1</c:v>
                </c:pt>
                <c:pt idx="718">
                  <c:v>32.700000000000003</c:v>
                </c:pt>
                <c:pt idx="719">
                  <c:v>32.299999999999997</c:v>
                </c:pt>
                <c:pt idx="720">
                  <c:v>31.8</c:v>
                </c:pt>
                <c:pt idx="721">
                  <c:v>31.4</c:v>
                </c:pt>
                <c:pt idx="722">
                  <c:v>31</c:v>
                </c:pt>
                <c:pt idx="723">
                  <c:v>30.7</c:v>
                </c:pt>
                <c:pt idx="724">
                  <c:v>30.3</c:v>
                </c:pt>
                <c:pt idx="725">
                  <c:v>29.9</c:v>
                </c:pt>
                <c:pt idx="726">
                  <c:v>29.6</c:v>
                </c:pt>
                <c:pt idx="727">
                  <c:v>29.2</c:v>
                </c:pt>
                <c:pt idx="728">
                  <c:v>28.9</c:v>
                </c:pt>
                <c:pt idx="729">
                  <c:v>28.5</c:v>
                </c:pt>
                <c:pt idx="730">
                  <c:v>28.2</c:v>
                </c:pt>
                <c:pt idx="731">
                  <c:v>27.9</c:v>
                </c:pt>
                <c:pt idx="732">
                  <c:v>27.6</c:v>
                </c:pt>
                <c:pt idx="733">
                  <c:v>27.3</c:v>
                </c:pt>
                <c:pt idx="734">
                  <c:v>27</c:v>
                </c:pt>
                <c:pt idx="735">
                  <c:v>26.7</c:v>
                </c:pt>
                <c:pt idx="736">
                  <c:v>26.4</c:v>
                </c:pt>
                <c:pt idx="737">
                  <c:v>26.1</c:v>
                </c:pt>
                <c:pt idx="738">
                  <c:v>25.9</c:v>
                </c:pt>
                <c:pt idx="739">
                  <c:v>25.6</c:v>
                </c:pt>
                <c:pt idx="740">
                  <c:v>25.3</c:v>
                </c:pt>
                <c:pt idx="741">
                  <c:v>25.1</c:v>
                </c:pt>
                <c:pt idx="742">
                  <c:v>24.8</c:v>
                </c:pt>
                <c:pt idx="743">
                  <c:v>24.6</c:v>
                </c:pt>
                <c:pt idx="744">
                  <c:v>24.3</c:v>
                </c:pt>
                <c:pt idx="745">
                  <c:v>24.1</c:v>
                </c:pt>
                <c:pt idx="746">
                  <c:v>23.9</c:v>
                </c:pt>
                <c:pt idx="747">
                  <c:v>23.7</c:v>
                </c:pt>
                <c:pt idx="748">
                  <c:v>23.4</c:v>
                </c:pt>
                <c:pt idx="749">
                  <c:v>23.2</c:v>
                </c:pt>
                <c:pt idx="750">
                  <c:v>23</c:v>
                </c:pt>
                <c:pt idx="751">
                  <c:v>22.8</c:v>
                </c:pt>
                <c:pt idx="752">
                  <c:v>22.6</c:v>
                </c:pt>
                <c:pt idx="753">
                  <c:v>22.4</c:v>
                </c:pt>
                <c:pt idx="754">
                  <c:v>22.2</c:v>
                </c:pt>
                <c:pt idx="755">
                  <c:v>22</c:v>
                </c:pt>
                <c:pt idx="756">
                  <c:v>21.8</c:v>
                </c:pt>
                <c:pt idx="757">
                  <c:v>21.6</c:v>
                </c:pt>
                <c:pt idx="758">
                  <c:v>21.5</c:v>
                </c:pt>
                <c:pt idx="759">
                  <c:v>21.3</c:v>
                </c:pt>
                <c:pt idx="760">
                  <c:v>21.1</c:v>
                </c:pt>
                <c:pt idx="761">
                  <c:v>20.9</c:v>
                </c:pt>
                <c:pt idx="762">
                  <c:v>20.8</c:v>
                </c:pt>
                <c:pt idx="763">
                  <c:v>20.6</c:v>
                </c:pt>
                <c:pt idx="764">
                  <c:v>20.399999999999999</c:v>
                </c:pt>
                <c:pt idx="765">
                  <c:v>20.3</c:v>
                </c:pt>
                <c:pt idx="766">
                  <c:v>20.100000000000001</c:v>
                </c:pt>
                <c:pt idx="767">
                  <c:v>20</c:v>
                </c:pt>
                <c:pt idx="768">
                  <c:v>19.8</c:v>
                </c:pt>
                <c:pt idx="769">
                  <c:v>19.7</c:v>
                </c:pt>
                <c:pt idx="770">
                  <c:v>19.5</c:v>
                </c:pt>
                <c:pt idx="771">
                  <c:v>19.399999999999999</c:v>
                </c:pt>
                <c:pt idx="772">
                  <c:v>19.2</c:v>
                </c:pt>
                <c:pt idx="773">
                  <c:v>19.100000000000001</c:v>
                </c:pt>
                <c:pt idx="774">
                  <c:v>19</c:v>
                </c:pt>
                <c:pt idx="775">
                  <c:v>18.8</c:v>
                </c:pt>
                <c:pt idx="776">
                  <c:v>18.7</c:v>
                </c:pt>
                <c:pt idx="777">
                  <c:v>18.600000000000001</c:v>
                </c:pt>
                <c:pt idx="778">
                  <c:v>18.399999999999999</c:v>
                </c:pt>
                <c:pt idx="779">
                  <c:v>18.3</c:v>
                </c:pt>
                <c:pt idx="780">
                  <c:v>18.2</c:v>
                </c:pt>
                <c:pt idx="781">
                  <c:v>18.100000000000001</c:v>
                </c:pt>
                <c:pt idx="782">
                  <c:v>18</c:v>
                </c:pt>
                <c:pt idx="783">
                  <c:v>17.8</c:v>
                </c:pt>
                <c:pt idx="784">
                  <c:v>17.7</c:v>
                </c:pt>
                <c:pt idx="785">
                  <c:v>17.600000000000001</c:v>
                </c:pt>
                <c:pt idx="786">
                  <c:v>17.5</c:v>
                </c:pt>
                <c:pt idx="787">
                  <c:v>17.399999999999999</c:v>
                </c:pt>
                <c:pt idx="788">
                  <c:v>17.3</c:v>
                </c:pt>
                <c:pt idx="789">
                  <c:v>17.2</c:v>
                </c:pt>
                <c:pt idx="790">
                  <c:v>17.100000000000001</c:v>
                </c:pt>
                <c:pt idx="791">
                  <c:v>17</c:v>
                </c:pt>
                <c:pt idx="792">
                  <c:v>16.899999999999999</c:v>
                </c:pt>
                <c:pt idx="793">
                  <c:v>16.8</c:v>
                </c:pt>
                <c:pt idx="794">
                  <c:v>16.7</c:v>
                </c:pt>
                <c:pt idx="795">
                  <c:v>16.600000000000001</c:v>
                </c:pt>
                <c:pt idx="796">
                  <c:v>16.5</c:v>
                </c:pt>
                <c:pt idx="797">
                  <c:v>16.399999999999999</c:v>
                </c:pt>
                <c:pt idx="798">
                  <c:v>16.3</c:v>
                </c:pt>
                <c:pt idx="799">
                  <c:v>16.2</c:v>
                </c:pt>
                <c:pt idx="800">
                  <c:v>16.100000000000001</c:v>
                </c:pt>
                <c:pt idx="801">
                  <c:v>16</c:v>
                </c:pt>
                <c:pt idx="802">
                  <c:v>15.9</c:v>
                </c:pt>
                <c:pt idx="803">
                  <c:v>15.9</c:v>
                </c:pt>
                <c:pt idx="804">
                  <c:v>15.8</c:v>
                </c:pt>
                <c:pt idx="805">
                  <c:v>15.7</c:v>
                </c:pt>
                <c:pt idx="806">
                  <c:v>15.6</c:v>
                </c:pt>
                <c:pt idx="807">
                  <c:v>15.5</c:v>
                </c:pt>
                <c:pt idx="808">
                  <c:v>15.5</c:v>
                </c:pt>
                <c:pt idx="809">
                  <c:v>15.4</c:v>
                </c:pt>
                <c:pt idx="810">
                  <c:v>15.3</c:v>
                </c:pt>
                <c:pt idx="811">
                  <c:v>15.2</c:v>
                </c:pt>
                <c:pt idx="812">
                  <c:v>15.2</c:v>
                </c:pt>
                <c:pt idx="813">
                  <c:v>15.1</c:v>
                </c:pt>
                <c:pt idx="814">
                  <c:v>15</c:v>
                </c:pt>
                <c:pt idx="815">
                  <c:v>14.9</c:v>
                </c:pt>
                <c:pt idx="816">
                  <c:v>14.9</c:v>
                </c:pt>
                <c:pt idx="817">
                  <c:v>14.8</c:v>
                </c:pt>
                <c:pt idx="818">
                  <c:v>14.7</c:v>
                </c:pt>
                <c:pt idx="819">
                  <c:v>14.7</c:v>
                </c:pt>
                <c:pt idx="820">
                  <c:v>14.6</c:v>
                </c:pt>
                <c:pt idx="821">
                  <c:v>14.5</c:v>
                </c:pt>
                <c:pt idx="822">
                  <c:v>14.5</c:v>
                </c:pt>
                <c:pt idx="823">
                  <c:v>14.4</c:v>
                </c:pt>
                <c:pt idx="824">
                  <c:v>14.4</c:v>
                </c:pt>
                <c:pt idx="825">
                  <c:v>14.3</c:v>
                </c:pt>
                <c:pt idx="826">
                  <c:v>14.2</c:v>
                </c:pt>
                <c:pt idx="827">
                  <c:v>14.2</c:v>
                </c:pt>
                <c:pt idx="828">
                  <c:v>14.1</c:v>
                </c:pt>
                <c:pt idx="829">
                  <c:v>14.1</c:v>
                </c:pt>
                <c:pt idx="830">
                  <c:v>14</c:v>
                </c:pt>
                <c:pt idx="831">
                  <c:v>13.9</c:v>
                </c:pt>
                <c:pt idx="832">
                  <c:v>13.9</c:v>
                </c:pt>
                <c:pt idx="833">
                  <c:v>13.8</c:v>
                </c:pt>
                <c:pt idx="834">
                  <c:v>13.8</c:v>
                </c:pt>
                <c:pt idx="835">
                  <c:v>13.7</c:v>
                </c:pt>
                <c:pt idx="836">
                  <c:v>13.7</c:v>
                </c:pt>
                <c:pt idx="837">
                  <c:v>13.6</c:v>
                </c:pt>
                <c:pt idx="838">
                  <c:v>13.6</c:v>
                </c:pt>
                <c:pt idx="839">
                  <c:v>13.5</c:v>
                </c:pt>
                <c:pt idx="840">
                  <c:v>13.5</c:v>
                </c:pt>
                <c:pt idx="841">
                  <c:v>13.4</c:v>
                </c:pt>
                <c:pt idx="842">
                  <c:v>13.4</c:v>
                </c:pt>
                <c:pt idx="843">
                  <c:v>13.3</c:v>
                </c:pt>
                <c:pt idx="844">
                  <c:v>13.3</c:v>
                </c:pt>
                <c:pt idx="845">
                  <c:v>13.2</c:v>
                </c:pt>
                <c:pt idx="846">
                  <c:v>13.2</c:v>
                </c:pt>
                <c:pt idx="847">
                  <c:v>13.2</c:v>
                </c:pt>
                <c:pt idx="848">
                  <c:v>13.1</c:v>
                </c:pt>
                <c:pt idx="849">
                  <c:v>13.1</c:v>
                </c:pt>
                <c:pt idx="850">
                  <c:v>13</c:v>
                </c:pt>
                <c:pt idx="851">
                  <c:v>13</c:v>
                </c:pt>
                <c:pt idx="852">
                  <c:v>12.9</c:v>
                </c:pt>
                <c:pt idx="853">
                  <c:v>12.9</c:v>
                </c:pt>
                <c:pt idx="854">
                  <c:v>12.9</c:v>
                </c:pt>
                <c:pt idx="855">
                  <c:v>12.8</c:v>
                </c:pt>
                <c:pt idx="856">
                  <c:v>12.8</c:v>
                </c:pt>
                <c:pt idx="857">
                  <c:v>12.8</c:v>
                </c:pt>
                <c:pt idx="858">
                  <c:v>12.7</c:v>
                </c:pt>
                <c:pt idx="859">
                  <c:v>12.7</c:v>
                </c:pt>
                <c:pt idx="860">
                  <c:v>12.6</c:v>
                </c:pt>
                <c:pt idx="861">
                  <c:v>12.6</c:v>
                </c:pt>
                <c:pt idx="862">
                  <c:v>12.6</c:v>
                </c:pt>
                <c:pt idx="863">
                  <c:v>12.5</c:v>
                </c:pt>
                <c:pt idx="864">
                  <c:v>12.5</c:v>
                </c:pt>
                <c:pt idx="865">
                  <c:v>12.5</c:v>
                </c:pt>
                <c:pt idx="866">
                  <c:v>12.4</c:v>
                </c:pt>
                <c:pt idx="867">
                  <c:v>12.4</c:v>
                </c:pt>
                <c:pt idx="868">
                  <c:v>12.4</c:v>
                </c:pt>
                <c:pt idx="869">
                  <c:v>12.3</c:v>
                </c:pt>
                <c:pt idx="870">
                  <c:v>12.3</c:v>
                </c:pt>
                <c:pt idx="871">
                  <c:v>12.3</c:v>
                </c:pt>
                <c:pt idx="872">
                  <c:v>12.2</c:v>
                </c:pt>
                <c:pt idx="873">
                  <c:v>12.2</c:v>
                </c:pt>
                <c:pt idx="874">
                  <c:v>12.2</c:v>
                </c:pt>
                <c:pt idx="875">
                  <c:v>12.2</c:v>
                </c:pt>
                <c:pt idx="876">
                  <c:v>12.1</c:v>
                </c:pt>
                <c:pt idx="877">
                  <c:v>12.1</c:v>
                </c:pt>
                <c:pt idx="878">
                  <c:v>12.1</c:v>
                </c:pt>
                <c:pt idx="879">
                  <c:v>12</c:v>
                </c:pt>
                <c:pt idx="880">
                  <c:v>12</c:v>
                </c:pt>
                <c:pt idx="881">
                  <c:v>12</c:v>
                </c:pt>
                <c:pt idx="882">
                  <c:v>12</c:v>
                </c:pt>
                <c:pt idx="883">
                  <c:v>11.9</c:v>
                </c:pt>
                <c:pt idx="884">
                  <c:v>11.9</c:v>
                </c:pt>
                <c:pt idx="885">
                  <c:v>11.9</c:v>
                </c:pt>
                <c:pt idx="886">
                  <c:v>11.9</c:v>
                </c:pt>
                <c:pt idx="887">
                  <c:v>11.8</c:v>
                </c:pt>
                <c:pt idx="888">
                  <c:v>11.8</c:v>
                </c:pt>
                <c:pt idx="889">
                  <c:v>11.8</c:v>
                </c:pt>
                <c:pt idx="890">
                  <c:v>11.8</c:v>
                </c:pt>
                <c:pt idx="891">
                  <c:v>11.8</c:v>
                </c:pt>
                <c:pt idx="892">
                  <c:v>11.7</c:v>
                </c:pt>
                <c:pt idx="893">
                  <c:v>11.7</c:v>
                </c:pt>
                <c:pt idx="894">
                  <c:v>11.7</c:v>
                </c:pt>
                <c:pt idx="895">
                  <c:v>11.7</c:v>
                </c:pt>
                <c:pt idx="896">
                  <c:v>11.7</c:v>
                </c:pt>
                <c:pt idx="897">
                  <c:v>11.6</c:v>
                </c:pt>
                <c:pt idx="898">
                  <c:v>11.6</c:v>
                </c:pt>
                <c:pt idx="899">
                  <c:v>11.6</c:v>
                </c:pt>
                <c:pt idx="900">
                  <c:v>11.6</c:v>
                </c:pt>
                <c:pt idx="901">
                  <c:v>11.6</c:v>
                </c:pt>
                <c:pt idx="902">
                  <c:v>11.5</c:v>
                </c:pt>
                <c:pt idx="903">
                  <c:v>11.5</c:v>
                </c:pt>
                <c:pt idx="904">
                  <c:v>11.5</c:v>
                </c:pt>
                <c:pt idx="905">
                  <c:v>11.5</c:v>
                </c:pt>
                <c:pt idx="906">
                  <c:v>11.5</c:v>
                </c:pt>
                <c:pt idx="907">
                  <c:v>11.5</c:v>
                </c:pt>
                <c:pt idx="908">
                  <c:v>11.4</c:v>
                </c:pt>
                <c:pt idx="909">
                  <c:v>11.4</c:v>
                </c:pt>
                <c:pt idx="910">
                  <c:v>11.4</c:v>
                </c:pt>
                <c:pt idx="911">
                  <c:v>11.4</c:v>
                </c:pt>
                <c:pt idx="912">
                  <c:v>11.4</c:v>
                </c:pt>
                <c:pt idx="913">
                  <c:v>11.4</c:v>
                </c:pt>
                <c:pt idx="914">
                  <c:v>11.4</c:v>
                </c:pt>
                <c:pt idx="915">
                  <c:v>11.3</c:v>
                </c:pt>
                <c:pt idx="916">
                  <c:v>11.3</c:v>
                </c:pt>
                <c:pt idx="917">
                  <c:v>11.3</c:v>
                </c:pt>
                <c:pt idx="918">
                  <c:v>11.3</c:v>
                </c:pt>
                <c:pt idx="919">
                  <c:v>11.3</c:v>
                </c:pt>
                <c:pt idx="920">
                  <c:v>11.3</c:v>
                </c:pt>
                <c:pt idx="921">
                  <c:v>11.3</c:v>
                </c:pt>
                <c:pt idx="922">
                  <c:v>11.3</c:v>
                </c:pt>
                <c:pt idx="923">
                  <c:v>11.2</c:v>
                </c:pt>
                <c:pt idx="924">
                  <c:v>11.2</c:v>
                </c:pt>
                <c:pt idx="925">
                  <c:v>11.2</c:v>
                </c:pt>
                <c:pt idx="926">
                  <c:v>11.2</c:v>
                </c:pt>
                <c:pt idx="927">
                  <c:v>11.2</c:v>
                </c:pt>
                <c:pt idx="928">
                  <c:v>11.2</c:v>
                </c:pt>
                <c:pt idx="929">
                  <c:v>11.2</c:v>
                </c:pt>
                <c:pt idx="930">
                  <c:v>11.2</c:v>
                </c:pt>
                <c:pt idx="931">
                  <c:v>11.2</c:v>
                </c:pt>
                <c:pt idx="932">
                  <c:v>11.2</c:v>
                </c:pt>
                <c:pt idx="933">
                  <c:v>11.2</c:v>
                </c:pt>
                <c:pt idx="934">
                  <c:v>11.1</c:v>
                </c:pt>
                <c:pt idx="935">
                  <c:v>11.1</c:v>
                </c:pt>
                <c:pt idx="936">
                  <c:v>11.1</c:v>
                </c:pt>
                <c:pt idx="937">
                  <c:v>11.1</c:v>
                </c:pt>
                <c:pt idx="938">
                  <c:v>11.1</c:v>
                </c:pt>
                <c:pt idx="939">
                  <c:v>11.1</c:v>
                </c:pt>
                <c:pt idx="940">
                  <c:v>11.1</c:v>
                </c:pt>
                <c:pt idx="941">
                  <c:v>11.1</c:v>
                </c:pt>
                <c:pt idx="942">
                  <c:v>11.1</c:v>
                </c:pt>
                <c:pt idx="943">
                  <c:v>11.1</c:v>
                </c:pt>
                <c:pt idx="944">
                  <c:v>11.1</c:v>
                </c:pt>
                <c:pt idx="945">
                  <c:v>11.1</c:v>
                </c:pt>
                <c:pt idx="946">
                  <c:v>11.1</c:v>
                </c:pt>
                <c:pt idx="947">
                  <c:v>11.1</c:v>
                </c:pt>
                <c:pt idx="948">
                  <c:v>11.1</c:v>
                </c:pt>
                <c:pt idx="949">
                  <c:v>11.1</c:v>
                </c:pt>
                <c:pt idx="950">
                  <c:v>11.1</c:v>
                </c:pt>
                <c:pt idx="951">
                  <c:v>11.1</c:v>
                </c:pt>
                <c:pt idx="952">
                  <c:v>11.1</c:v>
                </c:pt>
                <c:pt idx="953">
                  <c:v>11.1</c:v>
                </c:pt>
                <c:pt idx="954">
                  <c:v>11.1</c:v>
                </c:pt>
                <c:pt idx="955">
                  <c:v>11.1</c:v>
                </c:pt>
                <c:pt idx="956">
                  <c:v>11.1</c:v>
                </c:pt>
                <c:pt idx="957">
                  <c:v>11.1</c:v>
                </c:pt>
                <c:pt idx="958">
                  <c:v>11.1</c:v>
                </c:pt>
                <c:pt idx="959">
                  <c:v>11.1</c:v>
                </c:pt>
                <c:pt idx="960">
                  <c:v>11.1</c:v>
                </c:pt>
                <c:pt idx="961">
                  <c:v>11.1</c:v>
                </c:pt>
                <c:pt idx="962">
                  <c:v>11.1</c:v>
                </c:pt>
                <c:pt idx="963">
                  <c:v>11.1</c:v>
                </c:pt>
                <c:pt idx="964">
                  <c:v>11.1</c:v>
                </c:pt>
                <c:pt idx="965">
                  <c:v>11.1</c:v>
                </c:pt>
                <c:pt idx="966">
                  <c:v>11.1</c:v>
                </c:pt>
                <c:pt idx="967">
                  <c:v>11.1</c:v>
                </c:pt>
                <c:pt idx="968">
                  <c:v>11.1</c:v>
                </c:pt>
                <c:pt idx="969">
                  <c:v>11.1</c:v>
                </c:pt>
                <c:pt idx="970">
                  <c:v>11.1</c:v>
                </c:pt>
                <c:pt idx="971">
                  <c:v>11.1</c:v>
                </c:pt>
                <c:pt idx="972">
                  <c:v>11.1</c:v>
                </c:pt>
                <c:pt idx="973">
                  <c:v>11.1</c:v>
                </c:pt>
                <c:pt idx="974">
                  <c:v>11.1</c:v>
                </c:pt>
                <c:pt idx="975">
                  <c:v>11.1</c:v>
                </c:pt>
                <c:pt idx="976">
                  <c:v>11.2</c:v>
                </c:pt>
                <c:pt idx="977">
                  <c:v>11.2</c:v>
                </c:pt>
                <c:pt idx="978">
                  <c:v>11.2</c:v>
                </c:pt>
                <c:pt idx="979">
                  <c:v>11.2</c:v>
                </c:pt>
                <c:pt idx="980">
                  <c:v>11.2</c:v>
                </c:pt>
                <c:pt idx="981">
                  <c:v>11.2</c:v>
                </c:pt>
                <c:pt idx="982">
                  <c:v>11.2</c:v>
                </c:pt>
                <c:pt idx="983">
                  <c:v>11.2</c:v>
                </c:pt>
                <c:pt idx="984">
                  <c:v>11.2</c:v>
                </c:pt>
                <c:pt idx="985">
                  <c:v>11.2</c:v>
                </c:pt>
                <c:pt idx="986">
                  <c:v>11.2</c:v>
                </c:pt>
                <c:pt idx="987">
                  <c:v>11.3</c:v>
                </c:pt>
                <c:pt idx="988">
                  <c:v>11.3</c:v>
                </c:pt>
                <c:pt idx="989">
                  <c:v>11.3</c:v>
                </c:pt>
                <c:pt idx="990">
                  <c:v>11.3</c:v>
                </c:pt>
                <c:pt idx="991">
                  <c:v>11.3</c:v>
                </c:pt>
                <c:pt idx="992">
                  <c:v>11.3</c:v>
                </c:pt>
                <c:pt idx="993">
                  <c:v>11.3</c:v>
                </c:pt>
                <c:pt idx="994">
                  <c:v>11.4</c:v>
                </c:pt>
                <c:pt idx="995">
                  <c:v>11.4</c:v>
                </c:pt>
                <c:pt idx="996">
                  <c:v>11.4</c:v>
                </c:pt>
                <c:pt idx="997">
                  <c:v>11.4</c:v>
                </c:pt>
                <c:pt idx="998">
                  <c:v>11.4</c:v>
                </c:pt>
                <c:pt idx="999">
                  <c:v>11.4</c:v>
                </c:pt>
                <c:pt idx="1000">
                  <c:v>11.5</c:v>
                </c:pt>
                <c:pt idx="1001">
                  <c:v>11.5</c:v>
                </c:pt>
                <c:pt idx="1002">
                  <c:v>11.5</c:v>
                </c:pt>
                <c:pt idx="1003">
                  <c:v>11.5</c:v>
                </c:pt>
                <c:pt idx="1004">
                  <c:v>11.5</c:v>
                </c:pt>
                <c:pt idx="1005">
                  <c:v>11.6</c:v>
                </c:pt>
                <c:pt idx="1006">
                  <c:v>11.6</c:v>
                </c:pt>
                <c:pt idx="1007">
                  <c:v>11.6</c:v>
                </c:pt>
                <c:pt idx="1008">
                  <c:v>11.6</c:v>
                </c:pt>
                <c:pt idx="1009">
                  <c:v>11.7</c:v>
                </c:pt>
                <c:pt idx="1010">
                  <c:v>11.7</c:v>
                </c:pt>
                <c:pt idx="1011">
                  <c:v>11.7</c:v>
                </c:pt>
                <c:pt idx="1012">
                  <c:v>11.7</c:v>
                </c:pt>
                <c:pt idx="1013">
                  <c:v>11.8</c:v>
                </c:pt>
                <c:pt idx="1014">
                  <c:v>11.8</c:v>
                </c:pt>
                <c:pt idx="1015">
                  <c:v>11.8</c:v>
                </c:pt>
                <c:pt idx="1016">
                  <c:v>11.9</c:v>
                </c:pt>
                <c:pt idx="1017">
                  <c:v>11.9</c:v>
                </c:pt>
                <c:pt idx="1018">
                  <c:v>11.9</c:v>
                </c:pt>
                <c:pt idx="1019">
                  <c:v>11.9</c:v>
                </c:pt>
                <c:pt idx="1020">
                  <c:v>12</c:v>
                </c:pt>
                <c:pt idx="1021">
                  <c:v>12</c:v>
                </c:pt>
                <c:pt idx="1022">
                  <c:v>12</c:v>
                </c:pt>
                <c:pt idx="1023">
                  <c:v>12.1</c:v>
                </c:pt>
                <c:pt idx="1024">
                  <c:v>12.1</c:v>
                </c:pt>
                <c:pt idx="1025">
                  <c:v>12.1</c:v>
                </c:pt>
                <c:pt idx="1026">
                  <c:v>12.2</c:v>
                </c:pt>
                <c:pt idx="1027">
                  <c:v>12.2</c:v>
                </c:pt>
                <c:pt idx="1028">
                  <c:v>12.3</c:v>
                </c:pt>
                <c:pt idx="1029">
                  <c:v>12.3</c:v>
                </c:pt>
                <c:pt idx="1030">
                  <c:v>12.3</c:v>
                </c:pt>
                <c:pt idx="1031">
                  <c:v>12.4</c:v>
                </c:pt>
                <c:pt idx="1032">
                  <c:v>12.4</c:v>
                </c:pt>
                <c:pt idx="1033">
                  <c:v>12.5</c:v>
                </c:pt>
                <c:pt idx="1034">
                  <c:v>12.5</c:v>
                </c:pt>
                <c:pt idx="1035">
                  <c:v>12.6</c:v>
                </c:pt>
                <c:pt idx="1036">
                  <c:v>12.6</c:v>
                </c:pt>
                <c:pt idx="1037">
                  <c:v>12.7</c:v>
                </c:pt>
                <c:pt idx="1038">
                  <c:v>12.7</c:v>
                </c:pt>
                <c:pt idx="1039">
                  <c:v>12.8</c:v>
                </c:pt>
                <c:pt idx="1040">
                  <c:v>12.8</c:v>
                </c:pt>
                <c:pt idx="1041">
                  <c:v>12.9</c:v>
                </c:pt>
                <c:pt idx="1042">
                  <c:v>12.9</c:v>
                </c:pt>
                <c:pt idx="1043">
                  <c:v>13</c:v>
                </c:pt>
                <c:pt idx="1044">
                  <c:v>13</c:v>
                </c:pt>
                <c:pt idx="1045">
                  <c:v>13.1</c:v>
                </c:pt>
                <c:pt idx="1046">
                  <c:v>13.2</c:v>
                </c:pt>
                <c:pt idx="1047">
                  <c:v>13.2</c:v>
                </c:pt>
                <c:pt idx="1048">
                  <c:v>13.3</c:v>
                </c:pt>
                <c:pt idx="1049">
                  <c:v>13.4</c:v>
                </c:pt>
                <c:pt idx="1050">
                  <c:v>13.4</c:v>
                </c:pt>
                <c:pt idx="1051">
                  <c:v>13.5</c:v>
                </c:pt>
                <c:pt idx="1052">
                  <c:v>13.6</c:v>
                </c:pt>
                <c:pt idx="1053">
                  <c:v>13.6</c:v>
                </c:pt>
                <c:pt idx="1054">
                  <c:v>13.7</c:v>
                </c:pt>
                <c:pt idx="1055">
                  <c:v>13.8</c:v>
                </c:pt>
                <c:pt idx="1056">
                  <c:v>13.9</c:v>
                </c:pt>
                <c:pt idx="1057">
                  <c:v>14</c:v>
                </c:pt>
                <c:pt idx="1058">
                  <c:v>14</c:v>
                </c:pt>
                <c:pt idx="1059">
                  <c:v>14.1</c:v>
                </c:pt>
                <c:pt idx="1060">
                  <c:v>14.2</c:v>
                </c:pt>
                <c:pt idx="1061">
                  <c:v>14.3</c:v>
                </c:pt>
                <c:pt idx="1062">
                  <c:v>14.4</c:v>
                </c:pt>
                <c:pt idx="1063">
                  <c:v>14.5</c:v>
                </c:pt>
                <c:pt idx="1064">
                  <c:v>14.6</c:v>
                </c:pt>
                <c:pt idx="1065">
                  <c:v>14.7</c:v>
                </c:pt>
                <c:pt idx="1066">
                  <c:v>14.8</c:v>
                </c:pt>
                <c:pt idx="1067">
                  <c:v>14.9</c:v>
                </c:pt>
                <c:pt idx="1068">
                  <c:v>15</c:v>
                </c:pt>
                <c:pt idx="1069">
                  <c:v>15.1</c:v>
                </c:pt>
                <c:pt idx="1070">
                  <c:v>15.3</c:v>
                </c:pt>
                <c:pt idx="1071">
                  <c:v>15.4</c:v>
                </c:pt>
                <c:pt idx="1072">
                  <c:v>15.5</c:v>
                </c:pt>
                <c:pt idx="1073">
                  <c:v>15.6</c:v>
                </c:pt>
                <c:pt idx="1074">
                  <c:v>15.8</c:v>
                </c:pt>
                <c:pt idx="1075">
                  <c:v>15.9</c:v>
                </c:pt>
                <c:pt idx="1076">
                  <c:v>16</c:v>
                </c:pt>
                <c:pt idx="1077">
                  <c:v>16.2</c:v>
                </c:pt>
                <c:pt idx="1078">
                  <c:v>16.3</c:v>
                </c:pt>
                <c:pt idx="1079">
                  <c:v>16.5</c:v>
                </c:pt>
                <c:pt idx="1080">
                  <c:v>16.600000000000001</c:v>
                </c:pt>
                <c:pt idx="1081">
                  <c:v>16.8</c:v>
                </c:pt>
                <c:pt idx="1082">
                  <c:v>16.899999999999999</c:v>
                </c:pt>
                <c:pt idx="1083">
                  <c:v>17.100000000000001</c:v>
                </c:pt>
                <c:pt idx="1084">
                  <c:v>17.3</c:v>
                </c:pt>
                <c:pt idx="1085">
                  <c:v>17.5</c:v>
                </c:pt>
                <c:pt idx="1086">
                  <c:v>17.7</c:v>
                </c:pt>
                <c:pt idx="1087">
                  <c:v>17.899999999999999</c:v>
                </c:pt>
                <c:pt idx="1088">
                  <c:v>18.100000000000001</c:v>
                </c:pt>
                <c:pt idx="1089">
                  <c:v>18.3</c:v>
                </c:pt>
                <c:pt idx="1090">
                  <c:v>18.5</c:v>
                </c:pt>
                <c:pt idx="1091">
                  <c:v>18.7</c:v>
                </c:pt>
                <c:pt idx="1092">
                  <c:v>18.899999999999999</c:v>
                </c:pt>
                <c:pt idx="1093">
                  <c:v>19.2</c:v>
                </c:pt>
                <c:pt idx="1094">
                  <c:v>19.399999999999999</c:v>
                </c:pt>
                <c:pt idx="1095">
                  <c:v>19.7</c:v>
                </c:pt>
                <c:pt idx="1096">
                  <c:v>19.899999999999999</c:v>
                </c:pt>
                <c:pt idx="1097">
                  <c:v>20.2</c:v>
                </c:pt>
                <c:pt idx="1098">
                  <c:v>20.5</c:v>
                </c:pt>
                <c:pt idx="1099">
                  <c:v>20.8</c:v>
                </c:pt>
                <c:pt idx="1100">
                  <c:v>21.1</c:v>
                </c:pt>
                <c:pt idx="1101">
                  <c:v>21.4</c:v>
                </c:pt>
                <c:pt idx="1102">
                  <c:v>21.7</c:v>
                </c:pt>
                <c:pt idx="1103">
                  <c:v>22.1</c:v>
                </c:pt>
                <c:pt idx="1104">
                  <c:v>22.4</c:v>
                </c:pt>
                <c:pt idx="1105">
                  <c:v>22.8</c:v>
                </c:pt>
                <c:pt idx="1106">
                  <c:v>23.2</c:v>
                </c:pt>
                <c:pt idx="1107">
                  <c:v>23.6</c:v>
                </c:pt>
                <c:pt idx="1108">
                  <c:v>24</c:v>
                </c:pt>
                <c:pt idx="1109">
                  <c:v>24.4</c:v>
                </c:pt>
                <c:pt idx="1110">
                  <c:v>24.9</c:v>
                </c:pt>
                <c:pt idx="1111">
                  <c:v>25.3</c:v>
                </c:pt>
                <c:pt idx="1112">
                  <c:v>25.8</c:v>
                </c:pt>
                <c:pt idx="1113">
                  <c:v>26.3</c:v>
                </c:pt>
                <c:pt idx="1114">
                  <c:v>26.9</c:v>
                </c:pt>
                <c:pt idx="1115">
                  <c:v>27.4</c:v>
                </c:pt>
                <c:pt idx="1116">
                  <c:v>28</c:v>
                </c:pt>
                <c:pt idx="1117">
                  <c:v>28.6</c:v>
                </c:pt>
                <c:pt idx="1118">
                  <c:v>29.3</c:v>
                </c:pt>
                <c:pt idx="1119">
                  <c:v>29.9</c:v>
                </c:pt>
                <c:pt idx="1120">
                  <c:v>30.6</c:v>
                </c:pt>
                <c:pt idx="1121">
                  <c:v>31.4</c:v>
                </c:pt>
                <c:pt idx="1122">
                  <c:v>32.1</c:v>
                </c:pt>
                <c:pt idx="1123">
                  <c:v>32.9</c:v>
                </c:pt>
                <c:pt idx="1124">
                  <c:v>33.799999999999997</c:v>
                </c:pt>
                <c:pt idx="1125">
                  <c:v>34.700000000000003</c:v>
                </c:pt>
                <c:pt idx="1126">
                  <c:v>35.6</c:v>
                </c:pt>
                <c:pt idx="1127">
                  <c:v>36.6</c:v>
                </c:pt>
                <c:pt idx="1128">
                  <c:v>37.6</c:v>
                </c:pt>
                <c:pt idx="1129">
                  <c:v>38.700000000000003</c:v>
                </c:pt>
                <c:pt idx="1130">
                  <c:v>39.9</c:v>
                </c:pt>
                <c:pt idx="1131">
                  <c:v>41.1</c:v>
                </c:pt>
                <c:pt idx="1132">
                  <c:v>42.4</c:v>
                </c:pt>
                <c:pt idx="1133">
                  <c:v>43.8</c:v>
                </c:pt>
                <c:pt idx="1134">
                  <c:v>45.2</c:v>
                </c:pt>
                <c:pt idx="1135">
                  <c:v>46.8</c:v>
                </c:pt>
                <c:pt idx="1136">
                  <c:v>48.4</c:v>
                </c:pt>
                <c:pt idx="1137">
                  <c:v>50.1</c:v>
                </c:pt>
                <c:pt idx="1138">
                  <c:v>52</c:v>
                </c:pt>
                <c:pt idx="1139">
                  <c:v>53.9</c:v>
                </c:pt>
                <c:pt idx="1140">
                  <c:v>56</c:v>
                </c:pt>
                <c:pt idx="1141">
                  <c:v>58.2</c:v>
                </c:pt>
                <c:pt idx="1142">
                  <c:v>60.6</c:v>
                </c:pt>
                <c:pt idx="1143">
                  <c:v>63.1</c:v>
                </c:pt>
                <c:pt idx="1144">
                  <c:v>65.8</c:v>
                </c:pt>
                <c:pt idx="1145">
                  <c:v>68.7</c:v>
                </c:pt>
                <c:pt idx="1146">
                  <c:v>71.7</c:v>
                </c:pt>
                <c:pt idx="1147">
                  <c:v>75</c:v>
                </c:pt>
                <c:pt idx="1148">
                  <c:v>78.599999999999994</c:v>
                </c:pt>
                <c:pt idx="1149">
                  <c:v>82.3</c:v>
                </c:pt>
                <c:pt idx="1150">
                  <c:v>86.4</c:v>
                </c:pt>
                <c:pt idx="1151">
                  <c:v>90.8</c:v>
                </c:pt>
                <c:pt idx="1152">
                  <c:v>95.4</c:v>
                </c:pt>
                <c:pt idx="1153">
                  <c:v>100.4</c:v>
                </c:pt>
                <c:pt idx="1154">
                  <c:v>105.8</c:v>
                </c:pt>
                <c:pt idx="1155">
                  <c:v>111.6</c:v>
                </c:pt>
                <c:pt idx="1156">
                  <c:v>117.8</c:v>
                </c:pt>
                <c:pt idx="1157">
                  <c:v>124.4</c:v>
                </c:pt>
                <c:pt idx="1158">
                  <c:v>131.4</c:v>
                </c:pt>
                <c:pt idx="1159">
                  <c:v>138.9</c:v>
                </c:pt>
                <c:pt idx="1160">
                  <c:v>146.80000000000001</c:v>
                </c:pt>
                <c:pt idx="1161">
                  <c:v>155.19999999999999</c:v>
                </c:pt>
                <c:pt idx="1162">
                  <c:v>164</c:v>
                </c:pt>
                <c:pt idx="1163">
                  <c:v>173.1</c:v>
                </c:pt>
                <c:pt idx="1164">
                  <c:v>182.4</c:v>
                </c:pt>
                <c:pt idx="1165">
                  <c:v>192</c:v>
                </c:pt>
                <c:pt idx="1166">
                  <c:v>201.5</c:v>
                </c:pt>
                <c:pt idx="1167">
                  <c:v>210.7</c:v>
                </c:pt>
                <c:pt idx="1168">
                  <c:v>219.6</c:v>
                </c:pt>
                <c:pt idx="1169">
                  <c:v>227.8</c:v>
                </c:pt>
                <c:pt idx="1170">
                  <c:v>235</c:v>
                </c:pt>
                <c:pt idx="1171">
                  <c:v>241.1</c:v>
                </c:pt>
                <c:pt idx="1172">
                  <c:v>246</c:v>
                </c:pt>
                <c:pt idx="1173">
                  <c:v>249.5</c:v>
                </c:pt>
                <c:pt idx="1174">
                  <c:v>251.8</c:v>
                </c:pt>
                <c:pt idx="1175">
                  <c:v>253.2</c:v>
                </c:pt>
                <c:pt idx="1176">
                  <c:v>253.9</c:v>
                </c:pt>
                <c:pt idx="1177">
                  <c:v>254.1</c:v>
                </c:pt>
                <c:pt idx="1178">
                  <c:v>254.1</c:v>
                </c:pt>
                <c:pt idx="1179">
                  <c:v>253.9</c:v>
                </c:pt>
                <c:pt idx="1180">
                  <c:v>253.2</c:v>
                </c:pt>
                <c:pt idx="1181">
                  <c:v>251.8</c:v>
                </c:pt>
                <c:pt idx="1182">
                  <c:v>249.5</c:v>
                </c:pt>
                <c:pt idx="1183">
                  <c:v>246</c:v>
                </c:pt>
                <c:pt idx="1184">
                  <c:v>241.3</c:v>
                </c:pt>
                <c:pt idx="1185">
                  <c:v>235.2</c:v>
                </c:pt>
                <c:pt idx="1186">
                  <c:v>228</c:v>
                </c:pt>
                <c:pt idx="1187">
                  <c:v>219.9</c:v>
                </c:pt>
                <c:pt idx="1188">
                  <c:v>211.1</c:v>
                </c:pt>
                <c:pt idx="1189">
                  <c:v>201.8</c:v>
                </c:pt>
                <c:pt idx="1190">
                  <c:v>192.4</c:v>
                </c:pt>
              </c:numCache>
            </c:numRef>
          </c:yVal>
          <c:smooth val="1"/>
          <c:extLst>
            <c:ext xmlns:c16="http://schemas.microsoft.com/office/drawing/2014/chart" uri="{C3380CC4-5D6E-409C-BE32-E72D297353CC}">
              <c16:uniqueId val="{00000000-890F-454E-AC32-BA600AE94D3A}"/>
            </c:ext>
          </c:extLst>
        </c:ser>
        <c:ser>
          <c:idx val="1"/>
          <c:order val="1"/>
          <c:tx>
            <c:strRef>
              <c:f>Tatm!$C$5</c:f>
              <c:strCache>
                <c:ptCount val="1"/>
                <c:pt idx="0">
                  <c:v>6</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Tatm!$C$6:$C$1196</c:f>
              <c:numCache>
                <c:formatCode>General</c:formatCode>
                <c:ptCount val="1191"/>
                <c:pt idx="0">
                  <c:v>3.9</c:v>
                </c:pt>
                <c:pt idx="1">
                  <c:v>3.9</c:v>
                </c:pt>
                <c:pt idx="2">
                  <c:v>3.9</c:v>
                </c:pt>
                <c:pt idx="3">
                  <c:v>3.9</c:v>
                </c:pt>
                <c:pt idx="4">
                  <c:v>3.9</c:v>
                </c:pt>
                <c:pt idx="5">
                  <c:v>3.9</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4.0999999999999996</c:v>
                </c:pt>
                <c:pt idx="35">
                  <c:v>4.0999999999999996</c:v>
                </c:pt>
                <c:pt idx="36">
                  <c:v>4.0999999999999996</c:v>
                </c:pt>
                <c:pt idx="37">
                  <c:v>4.0999999999999996</c:v>
                </c:pt>
                <c:pt idx="38">
                  <c:v>4.0999999999999996</c:v>
                </c:pt>
                <c:pt idx="39">
                  <c:v>4.0999999999999996</c:v>
                </c:pt>
                <c:pt idx="40">
                  <c:v>4.0999999999999996</c:v>
                </c:pt>
                <c:pt idx="41">
                  <c:v>4.0999999999999996</c:v>
                </c:pt>
                <c:pt idx="42">
                  <c:v>4.0999999999999996</c:v>
                </c:pt>
                <c:pt idx="43">
                  <c:v>4.0999999999999996</c:v>
                </c:pt>
                <c:pt idx="44">
                  <c:v>4.0999999999999996</c:v>
                </c:pt>
                <c:pt idx="45">
                  <c:v>4.0999999999999996</c:v>
                </c:pt>
                <c:pt idx="46">
                  <c:v>4.0999999999999996</c:v>
                </c:pt>
                <c:pt idx="47">
                  <c:v>4.0999999999999996</c:v>
                </c:pt>
                <c:pt idx="48">
                  <c:v>4.0999999999999996</c:v>
                </c:pt>
                <c:pt idx="49">
                  <c:v>4.0999999999999996</c:v>
                </c:pt>
                <c:pt idx="50">
                  <c:v>4.0999999999999996</c:v>
                </c:pt>
                <c:pt idx="51">
                  <c:v>4.0999999999999996</c:v>
                </c:pt>
                <c:pt idx="52">
                  <c:v>4.0999999999999996</c:v>
                </c:pt>
                <c:pt idx="53">
                  <c:v>4.0999999999999996</c:v>
                </c:pt>
                <c:pt idx="54">
                  <c:v>4.0999999999999996</c:v>
                </c:pt>
                <c:pt idx="55">
                  <c:v>4.0999999999999996</c:v>
                </c:pt>
                <c:pt idx="56">
                  <c:v>4.0999999999999996</c:v>
                </c:pt>
                <c:pt idx="57">
                  <c:v>4.0999999999999996</c:v>
                </c:pt>
                <c:pt idx="58">
                  <c:v>4.0999999999999996</c:v>
                </c:pt>
                <c:pt idx="59">
                  <c:v>4.0999999999999996</c:v>
                </c:pt>
                <c:pt idx="60">
                  <c:v>4.2</c:v>
                </c:pt>
                <c:pt idx="61">
                  <c:v>4.2</c:v>
                </c:pt>
                <c:pt idx="62">
                  <c:v>4.2</c:v>
                </c:pt>
                <c:pt idx="63">
                  <c:v>4.2</c:v>
                </c:pt>
                <c:pt idx="64">
                  <c:v>4.2</c:v>
                </c:pt>
                <c:pt idx="65">
                  <c:v>4.2</c:v>
                </c:pt>
                <c:pt idx="66">
                  <c:v>4.2</c:v>
                </c:pt>
                <c:pt idx="67">
                  <c:v>4.2</c:v>
                </c:pt>
                <c:pt idx="68">
                  <c:v>4.2</c:v>
                </c:pt>
                <c:pt idx="69">
                  <c:v>4.2</c:v>
                </c:pt>
                <c:pt idx="70">
                  <c:v>4.2</c:v>
                </c:pt>
                <c:pt idx="71">
                  <c:v>4.2</c:v>
                </c:pt>
                <c:pt idx="72">
                  <c:v>4.2</c:v>
                </c:pt>
                <c:pt idx="73">
                  <c:v>4.2</c:v>
                </c:pt>
                <c:pt idx="74">
                  <c:v>4.2</c:v>
                </c:pt>
                <c:pt idx="75">
                  <c:v>4.2</c:v>
                </c:pt>
                <c:pt idx="76">
                  <c:v>4.2</c:v>
                </c:pt>
                <c:pt idx="77">
                  <c:v>4.2</c:v>
                </c:pt>
                <c:pt idx="78">
                  <c:v>4.3</c:v>
                </c:pt>
                <c:pt idx="79">
                  <c:v>4.3</c:v>
                </c:pt>
                <c:pt idx="80">
                  <c:v>4.3</c:v>
                </c:pt>
                <c:pt idx="81">
                  <c:v>4.3</c:v>
                </c:pt>
                <c:pt idx="82">
                  <c:v>4.3</c:v>
                </c:pt>
                <c:pt idx="83">
                  <c:v>4.3</c:v>
                </c:pt>
                <c:pt idx="84">
                  <c:v>4.3</c:v>
                </c:pt>
                <c:pt idx="85">
                  <c:v>4.3</c:v>
                </c:pt>
                <c:pt idx="86">
                  <c:v>4.3</c:v>
                </c:pt>
                <c:pt idx="87">
                  <c:v>4.3</c:v>
                </c:pt>
                <c:pt idx="88">
                  <c:v>4.3</c:v>
                </c:pt>
                <c:pt idx="89">
                  <c:v>4.3</c:v>
                </c:pt>
                <c:pt idx="90">
                  <c:v>4.3</c:v>
                </c:pt>
                <c:pt idx="91">
                  <c:v>4.4000000000000004</c:v>
                </c:pt>
                <c:pt idx="92">
                  <c:v>4.4000000000000004</c:v>
                </c:pt>
                <c:pt idx="93">
                  <c:v>4.4000000000000004</c:v>
                </c:pt>
                <c:pt idx="94">
                  <c:v>4.4000000000000004</c:v>
                </c:pt>
                <c:pt idx="95">
                  <c:v>4.4000000000000004</c:v>
                </c:pt>
                <c:pt idx="96">
                  <c:v>4.4000000000000004</c:v>
                </c:pt>
                <c:pt idx="97">
                  <c:v>4.4000000000000004</c:v>
                </c:pt>
                <c:pt idx="98">
                  <c:v>4.4000000000000004</c:v>
                </c:pt>
                <c:pt idx="99">
                  <c:v>4.4000000000000004</c:v>
                </c:pt>
                <c:pt idx="100">
                  <c:v>4.4000000000000004</c:v>
                </c:pt>
                <c:pt idx="101">
                  <c:v>4.4000000000000004</c:v>
                </c:pt>
                <c:pt idx="102">
                  <c:v>4.5</c:v>
                </c:pt>
                <c:pt idx="103">
                  <c:v>4.5</c:v>
                </c:pt>
                <c:pt idx="104">
                  <c:v>4.5</c:v>
                </c:pt>
                <c:pt idx="105">
                  <c:v>4.5</c:v>
                </c:pt>
                <c:pt idx="106">
                  <c:v>4.5</c:v>
                </c:pt>
                <c:pt idx="107">
                  <c:v>4.5</c:v>
                </c:pt>
                <c:pt idx="108">
                  <c:v>4.5</c:v>
                </c:pt>
                <c:pt idx="109">
                  <c:v>4.5</c:v>
                </c:pt>
                <c:pt idx="110">
                  <c:v>4.5</c:v>
                </c:pt>
                <c:pt idx="111">
                  <c:v>4.5</c:v>
                </c:pt>
                <c:pt idx="112">
                  <c:v>4.5999999999999996</c:v>
                </c:pt>
                <c:pt idx="113">
                  <c:v>4.5999999999999996</c:v>
                </c:pt>
                <c:pt idx="114">
                  <c:v>4.5999999999999996</c:v>
                </c:pt>
                <c:pt idx="115">
                  <c:v>4.5999999999999996</c:v>
                </c:pt>
                <c:pt idx="116">
                  <c:v>4.5999999999999996</c:v>
                </c:pt>
                <c:pt idx="117">
                  <c:v>4.5999999999999996</c:v>
                </c:pt>
                <c:pt idx="118">
                  <c:v>4.5999999999999996</c:v>
                </c:pt>
                <c:pt idx="119">
                  <c:v>4.7</c:v>
                </c:pt>
                <c:pt idx="120">
                  <c:v>4.7</c:v>
                </c:pt>
                <c:pt idx="121">
                  <c:v>4.7</c:v>
                </c:pt>
                <c:pt idx="122">
                  <c:v>4.7</c:v>
                </c:pt>
                <c:pt idx="123">
                  <c:v>4.7</c:v>
                </c:pt>
                <c:pt idx="124">
                  <c:v>4.7</c:v>
                </c:pt>
                <c:pt idx="125">
                  <c:v>4.7</c:v>
                </c:pt>
                <c:pt idx="126">
                  <c:v>4.8</c:v>
                </c:pt>
                <c:pt idx="127">
                  <c:v>4.8</c:v>
                </c:pt>
                <c:pt idx="128">
                  <c:v>4.8</c:v>
                </c:pt>
                <c:pt idx="129">
                  <c:v>4.8</c:v>
                </c:pt>
                <c:pt idx="130">
                  <c:v>4.8</c:v>
                </c:pt>
                <c:pt idx="131">
                  <c:v>4.8</c:v>
                </c:pt>
                <c:pt idx="132">
                  <c:v>4.9000000000000004</c:v>
                </c:pt>
                <c:pt idx="133">
                  <c:v>4.9000000000000004</c:v>
                </c:pt>
                <c:pt idx="134">
                  <c:v>4.9000000000000004</c:v>
                </c:pt>
                <c:pt idx="135">
                  <c:v>4.9000000000000004</c:v>
                </c:pt>
                <c:pt idx="136">
                  <c:v>4.9000000000000004</c:v>
                </c:pt>
                <c:pt idx="137">
                  <c:v>5</c:v>
                </c:pt>
                <c:pt idx="138">
                  <c:v>5</c:v>
                </c:pt>
                <c:pt idx="139">
                  <c:v>5</c:v>
                </c:pt>
                <c:pt idx="140">
                  <c:v>5</c:v>
                </c:pt>
                <c:pt idx="141">
                  <c:v>5.0999999999999996</c:v>
                </c:pt>
                <c:pt idx="142">
                  <c:v>5.0999999999999996</c:v>
                </c:pt>
                <c:pt idx="143">
                  <c:v>5.0999999999999996</c:v>
                </c:pt>
                <c:pt idx="144">
                  <c:v>5.0999999999999996</c:v>
                </c:pt>
                <c:pt idx="145">
                  <c:v>5.2</c:v>
                </c:pt>
                <c:pt idx="146">
                  <c:v>5.2</c:v>
                </c:pt>
                <c:pt idx="147">
                  <c:v>5.2</c:v>
                </c:pt>
                <c:pt idx="148">
                  <c:v>5.2</c:v>
                </c:pt>
                <c:pt idx="149">
                  <c:v>5.3</c:v>
                </c:pt>
                <c:pt idx="150">
                  <c:v>5.3</c:v>
                </c:pt>
                <c:pt idx="151">
                  <c:v>5.3</c:v>
                </c:pt>
                <c:pt idx="152">
                  <c:v>5.4</c:v>
                </c:pt>
                <c:pt idx="153">
                  <c:v>5.4</c:v>
                </c:pt>
                <c:pt idx="154">
                  <c:v>5.5</c:v>
                </c:pt>
                <c:pt idx="155">
                  <c:v>5.5</c:v>
                </c:pt>
                <c:pt idx="156">
                  <c:v>5.5</c:v>
                </c:pt>
                <c:pt idx="157">
                  <c:v>5.6</c:v>
                </c:pt>
                <c:pt idx="158">
                  <c:v>5.6</c:v>
                </c:pt>
                <c:pt idx="159">
                  <c:v>5.7</c:v>
                </c:pt>
                <c:pt idx="160">
                  <c:v>5.7</c:v>
                </c:pt>
                <c:pt idx="161">
                  <c:v>5.8</c:v>
                </c:pt>
                <c:pt idx="162">
                  <c:v>5.8</c:v>
                </c:pt>
                <c:pt idx="163">
                  <c:v>5.9</c:v>
                </c:pt>
                <c:pt idx="164">
                  <c:v>5.9</c:v>
                </c:pt>
                <c:pt idx="165">
                  <c:v>6</c:v>
                </c:pt>
                <c:pt idx="166">
                  <c:v>6.1</c:v>
                </c:pt>
                <c:pt idx="167">
                  <c:v>6.1</c:v>
                </c:pt>
                <c:pt idx="168">
                  <c:v>6.2</c:v>
                </c:pt>
                <c:pt idx="169">
                  <c:v>6.3</c:v>
                </c:pt>
                <c:pt idx="170">
                  <c:v>6.3</c:v>
                </c:pt>
                <c:pt idx="171">
                  <c:v>6.4</c:v>
                </c:pt>
                <c:pt idx="172">
                  <c:v>6.5</c:v>
                </c:pt>
                <c:pt idx="173">
                  <c:v>6.6</c:v>
                </c:pt>
                <c:pt idx="174">
                  <c:v>6.7</c:v>
                </c:pt>
                <c:pt idx="175">
                  <c:v>6.8</c:v>
                </c:pt>
                <c:pt idx="176">
                  <c:v>6.9</c:v>
                </c:pt>
                <c:pt idx="177">
                  <c:v>7</c:v>
                </c:pt>
                <c:pt idx="178">
                  <c:v>7.1</c:v>
                </c:pt>
                <c:pt idx="179">
                  <c:v>7.3</c:v>
                </c:pt>
                <c:pt idx="180">
                  <c:v>7.4</c:v>
                </c:pt>
                <c:pt idx="181">
                  <c:v>7.5</c:v>
                </c:pt>
                <c:pt idx="182">
                  <c:v>7.7</c:v>
                </c:pt>
                <c:pt idx="183">
                  <c:v>7.8</c:v>
                </c:pt>
                <c:pt idx="184">
                  <c:v>8</c:v>
                </c:pt>
                <c:pt idx="185">
                  <c:v>8.1999999999999993</c:v>
                </c:pt>
                <c:pt idx="186">
                  <c:v>8.4</c:v>
                </c:pt>
                <c:pt idx="187">
                  <c:v>8.6</c:v>
                </c:pt>
                <c:pt idx="188">
                  <c:v>8.8000000000000007</c:v>
                </c:pt>
                <c:pt idx="189">
                  <c:v>9</c:v>
                </c:pt>
                <c:pt idx="190">
                  <c:v>9.3000000000000007</c:v>
                </c:pt>
                <c:pt idx="191">
                  <c:v>9.6</c:v>
                </c:pt>
                <c:pt idx="192">
                  <c:v>9.8000000000000007</c:v>
                </c:pt>
                <c:pt idx="193">
                  <c:v>10.1</c:v>
                </c:pt>
                <c:pt idx="194">
                  <c:v>10.4</c:v>
                </c:pt>
                <c:pt idx="195">
                  <c:v>10.8</c:v>
                </c:pt>
                <c:pt idx="196">
                  <c:v>11.1</c:v>
                </c:pt>
                <c:pt idx="197">
                  <c:v>11.5</c:v>
                </c:pt>
                <c:pt idx="198">
                  <c:v>11.9</c:v>
                </c:pt>
                <c:pt idx="199">
                  <c:v>12.3</c:v>
                </c:pt>
                <c:pt idx="200">
                  <c:v>12.7</c:v>
                </c:pt>
                <c:pt idx="201">
                  <c:v>13.1</c:v>
                </c:pt>
                <c:pt idx="202">
                  <c:v>13.5</c:v>
                </c:pt>
                <c:pt idx="203">
                  <c:v>14</c:v>
                </c:pt>
                <c:pt idx="204">
                  <c:v>14.4</c:v>
                </c:pt>
                <c:pt idx="205">
                  <c:v>14.8</c:v>
                </c:pt>
                <c:pt idx="206">
                  <c:v>15.3</c:v>
                </c:pt>
                <c:pt idx="207">
                  <c:v>15.7</c:v>
                </c:pt>
                <c:pt idx="208">
                  <c:v>16</c:v>
                </c:pt>
                <c:pt idx="209">
                  <c:v>16.399999999999999</c:v>
                </c:pt>
                <c:pt idx="210">
                  <c:v>16.600000000000001</c:v>
                </c:pt>
                <c:pt idx="211">
                  <c:v>16.899999999999999</c:v>
                </c:pt>
                <c:pt idx="212">
                  <c:v>17.100000000000001</c:v>
                </c:pt>
                <c:pt idx="213">
                  <c:v>17.2</c:v>
                </c:pt>
                <c:pt idx="214">
                  <c:v>17.2</c:v>
                </c:pt>
                <c:pt idx="215">
                  <c:v>17.2</c:v>
                </c:pt>
                <c:pt idx="216">
                  <c:v>17.100000000000001</c:v>
                </c:pt>
                <c:pt idx="217">
                  <c:v>17</c:v>
                </c:pt>
                <c:pt idx="218">
                  <c:v>16.8</c:v>
                </c:pt>
                <c:pt idx="219">
                  <c:v>16.5</c:v>
                </c:pt>
                <c:pt idx="220">
                  <c:v>16.3</c:v>
                </c:pt>
                <c:pt idx="221">
                  <c:v>16</c:v>
                </c:pt>
                <c:pt idx="222">
                  <c:v>15.7</c:v>
                </c:pt>
                <c:pt idx="223">
                  <c:v>15.4</c:v>
                </c:pt>
                <c:pt idx="224">
                  <c:v>15.1</c:v>
                </c:pt>
                <c:pt idx="225">
                  <c:v>14.8</c:v>
                </c:pt>
                <c:pt idx="226">
                  <c:v>14.4</c:v>
                </c:pt>
                <c:pt idx="227">
                  <c:v>14.1</c:v>
                </c:pt>
                <c:pt idx="228">
                  <c:v>13.8</c:v>
                </c:pt>
                <c:pt idx="229">
                  <c:v>13.5</c:v>
                </c:pt>
                <c:pt idx="230">
                  <c:v>13.2</c:v>
                </c:pt>
                <c:pt idx="231">
                  <c:v>12.9</c:v>
                </c:pt>
                <c:pt idx="232">
                  <c:v>12.7</c:v>
                </c:pt>
                <c:pt idx="233">
                  <c:v>12.4</c:v>
                </c:pt>
                <c:pt idx="234">
                  <c:v>12.2</c:v>
                </c:pt>
                <c:pt idx="235">
                  <c:v>11.9</c:v>
                </c:pt>
                <c:pt idx="236">
                  <c:v>11.7</c:v>
                </c:pt>
                <c:pt idx="237">
                  <c:v>11.5</c:v>
                </c:pt>
                <c:pt idx="238">
                  <c:v>11.3</c:v>
                </c:pt>
                <c:pt idx="239">
                  <c:v>11.1</c:v>
                </c:pt>
                <c:pt idx="240">
                  <c:v>11</c:v>
                </c:pt>
                <c:pt idx="241">
                  <c:v>10.8</c:v>
                </c:pt>
                <c:pt idx="242">
                  <c:v>10.6</c:v>
                </c:pt>
                <c:pt idx="243">
                  <c:v>10.5</c:v>
                </c:pt>
                <c:pt idx="244">
                  <c:v>10.4</c:v>
                </c:pt>
                <c:pt idx="245">
                  <c:v>10.199999999999999</c:v>
                </c:pt>
                <c:pt idx="246">
                  <c:v>10.1</c:v>
                </c:pt>
                <c:pt idx="247">
                  <c:v>10</c:v>
                </c:pt>
                <c:pt idx="248">
                  <c:v>9.9</c:v>
                </c:pt>
                <c:pt idx="249">
                  <c:v>9.8000000000000007</c:v>
                </c:pt>
                <c:pt idx="250">
                  <c:v>9.6999999999999993</c:v>
                </c:pt>
                <c:pt idx="251">
                  <c:v>9.6</c:v>
                </c:pt>
                <c:pt idx="252">
                  <c:v>9.5</c:v>
                </c:pt>
                <c:pt idx="253">
                  <c:v>9.4</c:v>
                </c:pt>
                <c:pt idx="254">
                  <c:v>9.4</c:v>
                </c:pt>
                <c:pt idx="255">
                  <c:v>9.3000000000000007</c:v>
                </c:pt>
                <c:pt idx="256">
                  <c:v>9.1999999999999993</c:v>
                </c:pt>
                <c:pt idx="257">
                  <c:v>9.1999999999999993</c:v>
                </c:pt>
                <c:pt idx="258">
                  <c:v>9.1</c:v>
                </c:pt>
                <c:pt idx="259">
                  <c:v>9.1</c:v>
                </c:pt>
                <c:pt idx="260">
                  <c:v>9</c:v>
                </c:pt>
                <c:pt idx="261">
                  <c:v>9</c:v>
                </c:pt>
                <c:pt idx="262">
                  <c:v>8.9</c:v>
                </c:pt>
                <c:pt idx="263">
                  <c:v>8.9</c:v>
                </c:pt>
                <c:pt idx="264">
                  <c:v>8.9</c:v>
                </c:pt>
                <c:pt idx="265">
                  <c:v>8.8000000000000007</c:v>
                </c:pt>
                <c:pt idx="266">
                  <c:v>8.8000000000000007</c:v>
                </c:pt>
                <c:pt idx="267">
                  <c:v>8.8000000000000007</c:v>
                </c:pt>
                <c:pt idx="268">
                  <c:v>8.8000000000000007</c:v>
                </c:pt>
                <c:pt idx="269">
                  <c:v>8.6999999999999993</c:v>
                </c:pt>
                <c:pt idx="270">
                  <c:v>8.6999999999999993</c:v>
                </c:pt>
                <c:pt idx="271">
                  <c:v>8.6999999999999993</c:v>
                </c:pt>
                <c:pt idx="272">
                  <c:v>8.6999999999999993</c:v>
                </c:pt>
                <c:pt idx="273">
                  <c:v>8.6999999999999993</c:v>
                </c:pt>
                <c:pt idx="274">
                  <c:v>8.6999999999999993</c:v>
                </c:pt>
                <c:pt idx="275">
                  <c:v>8.6</c:v>
                </c:pt>
                <c:pt idx="276">
                  <c:v>8.6</c:v>
                </c:pt>
                <c:pt idx="277">
                  <c:v>8.6</c:v>
                </c:pt>
                <c:pt idx="278">
                  <c:v>8.6</c:v>
                </c:pt>
                <c:pt idx="279">
                  <c:v>8.6</c:v>
                </c:pt>
                <c:pt idx="280">
                  <c:v>8.6</c:v>
                </c:pt>
                <c:pt idx="281">
                  <c:v>8.6</c:v>
                </c:pt>
                <c:pt idx="282">
                  <c:v>8.6</c:v>
                </c:pt>
                <c:pt idx="283">
                  <c:v>8.6</c:v>
                </c:pt>
                <c:pt idx="284">
                  <c:v>8.6</c:v>
                </c:pt>
                <c:pt idx="285">
                  <c:v>8.6</c:v>
                </c:pt>
                <c:pt idx="286">
                  <c:v>8.6</c:v>
                </c:pt>
                <c:pt idx="287">
                  <c:v>8.6</c:v>
                </c:pt>
                <c:pt idx="288">
                  <c:v>8.6</c:v>
                </c:pt>
                <c:pt idx="289">
                  <c:v>8.6</c:v>
                </c:pt>
                <c:pt idx="290">
                  <c:v>8.6999999999999993</c:v>
                </c:pt>
                <c:pt idx="291">
                  <c:v>8.6999999999999993</c:v>
                </c:pt>
                <c:pt idx="292">
                  <c:v>8.6999999999999993</c:v>
                </c:pt>
                <c:pt idx="293">
                  <c:v>8.6999999999999993</c:v>
                </c:pt>
                <c:pt idx="294">
                  <c:v>8.6999999999999993</c:v>
                </c:pt>
                <c:pt idx="295">
                  <c:v>8.6999999999999993</c:v>
                </c:pt>
                <c:pt idx="296">
                  <c:v>8.6999999999999993</c:v>
                </c:pt>
                <c:pt idx="297">
                  <c:v>8.6999999999999993</c:v>
                </c:pt>
                <c:pt idx="298">
                  <c:v>8.8000000000000007</c:v>
                </c:pt>
                <c:pt idx="299">
                  <c:v>8.8000000000000007</c:v>
                </c:pt>
                <c:pt idx="300">
                  <c:v>8.8000000000000007</c:v>
                </c:pt>
                <c:pt idx="301">
                  <c:v>8.8000000000000007</c:v>
                </c:pt>
                <c:pt idx="302">
                  <c:v>8.8000000000000007</c:v>
                </c:pt>
                <c:pt idx="303">
                  <c:v>8.9</c:v>
                </c:pt>
                <c:pt idx="304">
                  <c:v>8.9</c:v>
                </c:pt>
                <c:pt idx="305">
                  <c:v>8.9</c:v>
                </c:pt>
                <c:pt idx="306">
                  <c:v>8.9</c:v>
                </c:pt>
                <c:pt idx="307">
                  <c:v>8.9</c:v>
                </c:pt>
                <c:pt idx="308">
                  <c:v>9</c:v>
                </c:pt>
                <c:pt idx="309">
                  <c:v>9</c:v>
                </c:pt>
                <c:pt idx="310">
                  <c:v>9</c:v>
                </c:pt>
                <c:pt idx="311">
                  <c:v>9</c:v>
                </c:pt>
                <c:pt idx="312">
                  <c:v>9.1</c:v>
                </c:pt>
                <c:pt idx="313">
                  <c:v>9.1</c:v>
                </c:pt>
                <c:pt idx="314">
                  <c:v>9.1</c:v>
                </c:pt>
                <c:pt idx="315">
                  <c:v>9.1999999999999993</c:v>
                </c:pt>
                <c:pt idx="316">
                  <c:v>9.1999999999999993</c:v>
                </c:pt>
                <c:pt idx="317">
                  <c:v>9.1999999999999993</c:v>
                </c:pt>
                <c:pt idx="318">
                  <c:v>9.1999999999999993</c:v>
                </c:pt>
                <c:pt idx="319">
                  <c:v>9.3000000000000007</c:v>
                </c:pt>
                <c:pt idx="320">
                  <c:v>9.3000000000000007</c:v>
                </c:pt>
                <c:pt idx="321">
                  <c:v>9.3000000000000007</c:v>
                </c:pt>
                <c:pt idx="322">
                  <c:v>9.4</c:v>
                </c:pt>
                <c:pt idx="323">
                  <c:v>9.4</c:v>
                </c:pt>
                <c:pt idx="324">
                  <c:v>9.4</c:v>
                </c:pt>
                <c:pt idx="325">
                  <c:v>9.5</c:v>
                </c:pt>
                <c:pt idx="326">
                  <c:v>9.5</c:v>
                </c:pt>
                <c:pt idx="327">
                  <c:v>9.5</c:v>
                </c:pt>
                <c:pt idx="328">
                  <c:v>9.6</c:v>
                </c:pt>
                <c:pt idx="329">
                  <c:v>9.6</c:v>
                </c:pt>
                <c:pt idx="330">
                  <c:v>9.6999999999999993</c:v>
                </c:pt>
                <c:pt idx="331">
                  <c:v>9.6999999999999993</c:v>
                </c:pt>
                <c:pt idx="332">
                  <c:v>9.6999999999999993</c:v>
                </c:pt>
                <c:pt idx="333">
                  <c:v>9.8000000000000007</c:v>
                </c:pt>
                <c:pt idx="334">
                  <c:v>9.8000000000000007</c:v>
                </c:pt>
                <c:pt idx="335">
                  <c:v>9.9</c:v>
                </c:pt>
                <c:pt idx="336">
                  <c:v>9.9</c:v>
                </c:pt>
                <c:pt idx="337">
                  <c:v>10</c:v>
                </c:pt>
                <c:pt idx="338">
                  <c:v>10</c:v>
                </c:pt>
                <c:pt idx="339">
                  <c:v>10</c:v>
                </c:pt>
                <c:pt idx="340">
                  <c:v>10.1</c:v>
                </c:pt>
                <c:pt idx="341">
                  <c:v>10.1</c:v>
                </c:pt>
                <c:pt idx="342">
                  <c:v>10.199999999999999</c:v>
                </c:pt>
                <c:pt idx="343">
                  <c:v>10.199999999999999</c:v>
                </c:pt>
                <c:pt idx="344">
                  <c:v>10.3</c:v>
                </c:pt>
                <c:pt idx="345">
                  <c:v>10.3</c:v>
                </c:pt>
                <c:pt idx="346">
                  <c:v>10.4</c:v>
                </c:pt>
                <c:pt idx="347">
                  <c:v>10.4</c:v>
                </c:pt>
                <c:pt idx="348">
                  <c:v>10.5</c:v>
                </c:pt>
                <c:pt idx="349">
                  <c:v>10.5</c:v>
                </c:pt>
                <c:pt idx="350">
                  <c:v>10.6</c:v>
                </c:pt>
                <c:pt idx="351">
                  <c:v>10.6</c:v>
                </c:pt>
                <c:pt idx="352">
                  <c:v>10.7</c:v>
                </c:pt>
                <c:pt idx="353">
                  <c:v>10.8</c:v>
                </c:pt>
                <c:pt idx="354">
                  <c:v>10.8</c:v>
                </c:pt>
                <c:pt idx="355">
                  <c:v>10.9</c:v>
                </c:pt>
                <c:pt idx="356">
                  <c:v>10.9</c:v>
                </c:pt>
                <c:pt idx="357">
                  <c:v>11</c:v>
                </c:pt>
                <c:pt idx="358">
                  <c:v>11</c:v>
                </c:pt>
                <c:pt idx="359">
                  <c:v>11.1</c:v>
                </c:pt>
                <c:pt idx="360">
                  <c:v>11.2</c:v>
                </c:pt>
                <c:pt idx="361">
                  <c:v>11.2</c:v>
                </c:pt>
                <c:pt idx="362">
                  <c:v>11.3</c:v>
                </c:pt>
                <c:pt idx="363">
                  <c:v>11.4</c:v>
                </c:pt>
                <c:pt idx="364">
                  <c:v>11.4</c:v>
                </c:pt>
                <c:pt idx="365">
                  <c:v>11.5</c:v>
                </c:pt>
                <c:pt idx="366">
                  <c:v>11.6</c:v>
                </c:pt>
                <c:pt idx="367">
                  <c:v>11.6</c:v>
                </c:pt>
                <c:pt idx="368">
                  <c:v>11.7</c:v>
                </c:pt>
                <c:pt idx="369">
                  <c:v>11.8</c:v>
                </c:pt>
                <c:pt idx="370">
                  <c:v>11.8</c:v>
                </c:pt>
                <c:pt idx="371">
                  <c:v>11.9</c:v>
                </c:pt>
                <c:pt idx="372">
                  <c:v>12</c:v>
                </c:pt>
                <c:pt idx="373">
                  <c:v>12.1</c:v>
                </c:pt>
                <c:pt idx="374">
                  <c:v>12.1</c:v>
                </c:pt>
                <c:pt idx="375">
                  <c:v>12.2</c:v>
                </c:pt>
                <c:pt idx="376">
                  <c:v>12.3</c:v>
                </c:pt>
                <c:pt idx="377">
                  <c:v>12.4</c:v>
                </c:pt>
                <c:pt idx="378">
                  <c:v>12.5</c:v>
                </c:pt>
                <c:pt idx="379">
                  <c:v>12.5</c:v>
                </c:pt>
                <c:pt idx="380">
                  <c:v>12.6</c:v>
                </c:pt>
                <c:pt idx="381">
                  <c:v>12.7</c:v>
                </c:pt>
                <c:pt idx="382">
                  <c:v>12.8</c:v>
                </c:pt>
                <c:pt idx="383">
                  <c:v>12.9</c:v>
                </c:pt>
                <c:pt idx="384">
                  <c:v>13</c:v>
                </c:pt>
                <c:pt idx="385">
                  <c:v>13.1</c:v>
                </c:pt>
                <c:pt idx="386">
                  <c:v>13.2</c:v>
                </c:pt>
                <c:pt idx="387">
                  <c:v>13.2</c:v>
                </c:pt>
                <c:pt idx="388">
                  <c:v>13.3</c:v>
                </c:pt>
                <c:pt idx="389">
                  <c:v>13.4</c:v>
                </c:pt>
                <c:pt idx="390">
                  <c:v>13.5</c:v>
                </c:pt>
                <c:pt idx="391">
                  <c:v>13.6</c:v>
                </c:pt>
                <c:pt idx="392">
                  <c:v>13.7</c:v>
                </c:pt>
                <c:pt idx="393">
                  <c:v>13.8</c:v>
                </c:pt>
                <c:pt idx="394">
                  <c:v>13.9</c:v>
                </c:pt>
                <c:pt idx="395">
                  <c:v>14</c:v>
                </c:pt>
                <c:pt idx="396">
                  <c:v>14.2</c:v>
                </c:pt>
                <c:pt idx="397">
                  <c:v>14.3</c:v>
                </c:pt>
                <c:pt idx="398">
                  <c:v>14.4</c:v>
                </c:pt>
                <c:pt idx="399">
                  <c:v>14.5</c:v>
                </c:pt>
                <c:pt idx="400">
                  <c:v>14.6</c:v>
                </c:pt>
                <c:pt idx="401">
                  <c:v>14.7</c:v>
                </c:pt>
                <c:pt idx="402">
                  <c:v>14.8</c:v>
                </c:pt>
                <c:pt idx="403">
                  <c:v>15</c:v>
                </c:pt>
                <c:pt idx="404">
                  <c:v>15.1</c:v>
                </c:pt>
                <c:pt idx="405">
                  <c:v>15.2</c:v>
                </c:pt>
                <c:pt idx="406">
                  <c:v>15.3</c:v>
                </c:pt>
                <c:pt idx="407">
                  <c:v>15.5</c:v>
                </c:pt>
                <c:pt idx="408">
                  <c:v>15.6</c:v>
                </c:pt>
                <c:pt idx="409">
                  <c:v>15.7</c:v>
                </c:pt>
                <c:pt idx="410">
                  <c:v>15.9</c:v>
                </c:pt>
                <c:pt idx="411">
                  <c:v>16</c:v>
                </c:pt>
                <c:pt idx="412">
                  <c:v>16.100000000000001</c:v>
                </c:pt>
                <c:pt idx="413">
                  <c:v>16.3</c:v>
                </c:pt>
                <c:pt idx="414">
                  <c:v>16.399999999999999</c:v>
                </c:pt>
                <c:pt idx="415">
                  <c:v>16.600000000000001</c:v>
                </c:pt>
                <c:pt idx="416">
                  <c:v>16.7</c:v>
                </c:pt>
                <c:pt idx="417">
                  <c:v>16.899999999999999</c:v>
                </c:pt>
                <c:pt idx="418">
                  <c:v>17</c:v>
                </c:pt>
                <c:pt idx="419">
                  <c:v>17.2</c:v>
                </c:pt>
                <c:pt idx="420">
                  <c:v>17.399999999999999</c:v>
                </c:pt>
                <c:pt idx="421">
                  <c:v>17.5</c:v>
                </c:pt>
                <c:pt idx="422">
                  <c:v>17.7</c:v>
                </c:pt>
                <c:pt idx="423">
                  <c:v>17.899999999999999</c:v>
                </c:pt>
                <c:pt idx="424">
                  <c:v>18.100000000000001</c:v>
                </c:pt>
                <c:pt idx="425">
                  <c:v>18.2</c:v>
                </c:pt>
                <c:pt idx="426">
                  <c:v>18.399999999999999</c:v>
                </c:pt>
                <c:pt idx="427">
                  <c:v>18.600000000000001</c:v>
                </c:pt>
                <c:pt idx="428">
                  <c:v>18.8</c:v>
                </c:pt>
                <c:pt idx="429">
                  <c:v>19</c:v>
                </c:pt>
                <c:pt idx="430">
                  <c:v>19.2</c:v>
                </c:pt>
                <c:pt idx="431">
                  <c:v>19.399999999999999</c:v>
                </c:pt>
                <c:pt idx="432">
                  <c:v>19.600000000000001</c:v>
                </c:pt>
                <c:pt idx="433">
                  <c:v>19.8</c:v>
                </c:pt>
                <c:pt idx="434">
                  <c:v>20</c:v>
                </c:pt>
                <c:pt idx="435">
                  <c:v>20.2</c:v>
                </c:pt>
                <c:pt idx="436">
                  <c:v>20.5</c:v>
                </c:pt>
                <c:pt idx="437">
                  <c:v>20.7</c:v>
                </c:pt>
                <c:pt idx="438">
                  <c:v>20.9</c:v>
                </c:pt>
                <c:pt idx="439">
                  <c:v>21.2</c:v>
                </c:pt>
                <c:pt idx="440">
                  <c:v>21.4</c:v>
                </c:pt>
                <c:pt idx="441">
                  <c:v>21.7</c:v>
                </c:pt>
                <c:pt idx="442">
                  <c:v>21.9</c:v>
                </c:pt>
                <c:pt idx="443">
                  <c:v>22.2</c:v>
                </c:pt>
                <c:pt idx="444">
                  <c:v>22.5</c:v>
                </c:pt>
                <c:pt idx="445">
                  <c:v>22.7</c:v>
                </c:pt>
                <c:pt idx="446">
                  <c:v>23</c:v>
                </c:pt>
                <c:pt idx="447">
                  <c:v>23.3</c:v>
                </c:pt>
                <c:pt idx="448">
                  <c:v>23.6</c:v>
                </c:pt>
                <c:pt idx="449">
                  <c:v>23.9</c:v>
                </c:pt>
                <c:pt idx="450">
                  <c:v>24.2</c:v>
                </c:pt>
                <c:pt idx="451">
                  <c:v>24.5</c:v>
                </c:pt>
                <c:pt idx="452">
                  <c:v>24.8</c:v>
                </c:pt>
                <c:pt idx="453">
                  <c:v>25.2</c:v>
                </c:pt>
                <c:pt idx="454">
                  <c:v>25.5</c:v>
                </c:pt>
                <c:pt idx="455">
                  <c:v>25.9</c:v>
                </c:pt>
                <c:pt idx="456">
                  <c:v>26.2</c:v>
                </c:pt>
                <c:pt idx="457">
                  <c:v>26.6</c:v>
                </c:pt>
                <c:pt idx="458">
                  <c:v>26.9</c:v>
                </c:pt>
                <c:pt idx="459">
                  <c:v>27.3</c:v>
                </c:pt>
                <c:pt idx="460">
                  <c:v>27.7</c:v>
                </c:pt>
                <c:pt idx="461">
                  <c:v>28.1</c:v>
                </c:pt>
                <c:pt idx="462">
                  <c:v>28.6</c:v>
                </c:pt>
                <c:pt idx="463">
                  <c:v>29</c:v>
                </c:pt>
                <c:pt idx="464">
                  <c:v>29.4</c:v>
                </c:pt>
                <c:pt idx="465">
                  <c:v>29.9</c:v>
                </c:pt>
                <c:pt idx="466">
                  <c:v>30.3</c:v>
                </c:pt>
                <c:pt idx="467">
                  <c:v>30.8</c:v>
                </c:pt>
                <c:pt idx="468">
                  <c:v>31.3</c:v>
                </c:pt>
                <c:pt idx="469">
                  <c:v>31.8</c:v>
                </c:pt>
                <c:pt idx="470">
                  <c:v>32.4</c:v>
                </c:pt>
                <c:pt idx="471">
                  <c:v>32.9</c:v>
                </c:pt>
                <c:pt idx="472">
                  <c:v>33.5</c:v>
                </c:pt>
                <c:pt idx="473">
                  <c:v>34</c:v>
                </c:pt>
                <c:pt idx="474">
                  <c:v>34.6</c:v>
                </c:pt>
                <c:pt idx="475">
                  <c:v>35.200000000000003</c:v>
                </c:pt>
                <c:pt idx="476">
                  <c:v>35.9</c:v>
                </c:pt>
                <c:pt idx="477">
                  <c:v>36.5</c:v>
                </c:pt>
                <c:pt idx="478">
                  <c:v>37.200000000000003</c:v>
                </c:pt>
                <c:pt idx="479">
                  <c:v>37.9</c:v>
                </c:pt>
                <c:pt idx="480">
                  <c:v>38.6</c:v>
                </c:pt>
                <c:pt idx="481">
                  <c:v>39.4</c:v>
                </c:pt>
                <c:pt idx="482">
                  <c:v>40.1</c:v>
                </c:pt>
                <c:pt idx="483">
                  <c:v>40.9</c:v>
                </c:pt>
                <c:pt idx="484">
                  <c:v>41.8</c:v>
                </c:pt>
                <c:pt idx="485">
                  <c:v>42.7</c:v>
                </c:pt>
                <c:pt idx="486">
                  <c:v>43.6</c:v>
                </c:pt>
                <c:pt idx="487">
                  <c:v>44.5</c:v>
                </c:pt>
                <c:pt idx="488">
                  <c:v>45.5</c:v>
                </c:pt>
                <c:pt idx="489">
                  <c:v>46.5</c:v>
                </c:pt>
                <c:pt idx="490">
                  <c:v>47.6</c:v>
                </c:pt>
                <c:pt idx="491">
                  <c:v>48.7</c:v>
                </c:pt>
                <c:pt idx="492">
                  <c:v>49.9</c:v>
                </c:pt>
                <c:pt idx="493">
                  <c:v>51.2</c:v>
                </c:pt>
                <c:pt idx="494">
                  <c:v>52.5</c:v>
                </c:pt>
                <c:pt idx="495">
                  <c:v>53.9</c:v>
                </c:pt>
                <c:pt idx="496">
                  <c:v>55.3</c:v>
                </c:pt>
                <c:pt idx="497">
                  <c:v>56.9</c:v>
                </c:pt>
                <c:pt idx="498">
                  <c:v>58.5</c:v>
                </c:pt>
                <c:pt idx="499">
                  <c:v>60.3</c:v>
                </c:pt>
                <c:pt idx="500">
                  <c:v>62.1</c:v>
                </c:pt>
                <c:pt idx="501">
                  <c:v>64</c:v>
                </c:pt>
                <c:pt idx="502">
                  <c:v>66.099999999999994</c:v>
                </c:pt>
                <c:pt idx="503">
                  <c:v>68.400000000000006</c:v>
                </c:pt>
                <c:pt idx="504">
                  <c:v>70.8</c:v>
                </c:pt>
                <c:pt idx="505">
                  <c:v>73.400000000000006</c:v>
                </c:pt>
                <c:pt idx="506">
                  <c:v>76.099999999999994</c:v>
                </c:pt>
                <c:pt idx="507">
                  <c:v>78.900000000000006</c:v>
                </c:pt>
                <c:pt idx="508">
                  <c:v>82.1</c:v>
                </c:pt>
                <c:pt idx="509">
                  <c:v>85.6</c:v>
                </c:pt>
                <c:pt idx="510">
                  <c:v>89.5</c:v>
                </c:pt>
                <c:pt idx="511">
                  <c:v>93.2</c:v>
                </c:pt>
                <c:pt idx="512">
                  <c:v>97.2</c:v>
                </c:pt>
                <c:pt idx="513">
                  <c:v>101.7</c:v>
                </c:pt>
                <c:pt idx="514">
                  <c:v>106.8</c:v>
                </c:pt>
                <c:pt idx="515">
                  <c:v>112.5</c:v>
                </c:pt>
                <c:pt idx="516">
                  <c:v>117.9</c:v>
                </c:pt>
                <c:pt idx="517">
                  <c:v>123.2</c:v>
                </c:pt>
                <c:pt idx="518">
                  <c:v>129.30000000000001</c:v>
                </c:pt>
                <c:pt idx="519">
                  <c:v>136.19999999999999</c:v>
                </c:pt>
                <c:pt idx="520">
                  <c:v>144.1</c:v>
                </c:pt>
                <c:pt idx="521">
                  <c:v>151.6</c:v>
                </c:pt>
                <c:pt idx="522">
                  <c:v>157.80000000000001</c:v>
                </c:pt>
                <c:pt idx="523">
                  <c:v>165</c:v>
                </c:pt>
                <c:pt idx="524">
                  <c:v>173.3</c:v>
                </c:pt>
                <c:pt idx="525">
                  <c:v>182.7</c:v>
                </c:pt>
                <c:pt idx="526">
                  <c:v>192.2</c:v>
                </c:pt>
                <c:pt idx="527">
                  <c:v>198.4</c:v>
                </c:pt>
                <c:pt idx="528">
                  <c:v>205.1</c:v>
                </c:pt>
                <c:pt idx="529">
                  <c:v>213</c:v>
                </c:pt>
                <c:pt idx="530">
                  <c:v>221.7</c:v>
                </c:pt>
                <c:pt idx="531">
                  <c:v>230.7</c:v>
                </c:pt>
                <c:pt idx="532">
                  <c:v>236.2</c:v>
                </c:pt>
                <c:pt idx="533">
                  <c:v>240.6</c:v>
                </c:pt>
                <c:pt idx="534">
                  <c:v>245.8</c:v>
                </c:pt>
                <c:pt idx="535">
                  <c:v>251.4</c:v>
                </c:pt>
                <c:pt idx="536">
                  <c:v>257</c:v>
                </c:pt>
                <c:pt idx="537">
                  <c:v>261</c:v>
                </c:pt>
                <c:pt idx="538">
                  <c:v>263</c:v>
                </c:pt>
                <c:pt idx="539">
                  <c:v>265.3</c:v>
                </c:pt>
                <c:pt idx="540">
                  <c:v>267.7</c:v>
                </c:pt>
                <c:pt idx="541">
                  <c:v>269.89999999999998</c:v>
                </c:pt>
                <c:pt idx="542">
                  <c:v>271.7</c:v>
                </c:pt>
                <c:pt idx="543">
                  <c:v>272.7</c:v>
                </c:pt>
                <c:pt idx="544">
                  <c:v>273.60000000000002</c:v>
                </c:pt>
                <c:pt idx="545">
                  <c:v>274.39999999999998</c:v>
                </c:pt>
                <c:pt idx="546">
                  <c:v>275.2</c:v>
                </c:pt>
                <c:pt idx="547">
                  <c:v>275.8</c:v>
                </c:pt>
                <c:pt idx="548">
                  <c:v>276.3</c:v>
                </c:pt>
                <c:pt idx="549">
                  <c:v>276.7</c:v>
                </c:pt>
                <c:pt idx="550">
                  <c:v>277.10000000000002</c:v>
                </c:pt>
                <c:pt idx="551">
                  <c:v>277.39999999999998</c:v>
                </c:pt>
                <c:pt idx="552">
                  <c:v>277.7</c:v>
                </c:pt>
                <c:pt idx="553">
                  <c:v>278</c:v>
                </c:pt>
                <c:pt idx="554">
                  <c:v>278.2</c:v>
                </c:pt>
                <c:pt idx="555">
                  <c:v>278.5</c:v>
                </c:pt>
                <c:pt idx="556">
                  <c:v>278.7</c:v>
                </c:pt>
                <c:pt idx="557">
                  <c:v>278.8</c:v>
                </c:pt>
                <c:pt idx="558">
                  <c:v>279</c:v>
                </c:pt>
                <c:pt idx="559">
                  <c:v>279.10000000000002</c:v>
                </c:pt>
                <c:pt idx="560">
                  <c:v>279.3</c:v>
                </c:pt>
                <c:pt idx="561">
                  <c:v>279.39999999999998</c:v>
                </c:pt>
                <c:pt idx="562">
                  <c:v>279.5</c:v>
                </c:pt>
                <c:pt idx="563">
                  <c:v>279.60000000000002</c:v>
                </c:pt>
                <c:pt idx="564">
                  <c:v>279.7</c:v>
                </c:pt>
                <c:pt idx="565">
                  <c:v>279.8</c:v>
                </c:pt>
                <c:pt idx="566">
                  <c:v>279.89999999999998</c:v>
                </c:pt>
                <c:pt idx="567">
                  <c:v>279.89999999999998</c:v>
                </c:pt>
                <c:pt idx="568">
                  <c:v>280</c:v>
                </c:pt>
                <c:pt idx="569">
                  <c:v>280.10000000000002</c:v>
                </c:pt>
                <c:pt idx="570">
                  <c:v>280.2</c:v>
                </c:pt>
                <c:pt idx="571">
                  <c:v>280.2</c:v>
                </c:pt>
                <c:pt idx="572">
                  <c:v>280.3</c:v>
                </c:pt>
                <c:pt idx="573">
                  <c:v>280.3</c:v>
                </c:pt>
                <c:pt idx="574">
                  <c:v>280.39999999999998</c:v>
                </c:pt>
                <c:pt idx="575">
                  <c:v>280.39999999999998</c:v>
                </c:pt>
                <c:pt idx="576">
                  <c:v>280.39999999999998</c:v>
                </c:pt>
                <c:pt idx="577">
                  <c:v>280.5</c:v>
                </c:pt>
                <c:pt idx="578">
                  <c:v>280.5</c:v>
                </c:pt>
                <c:pt idx="579">
                  <c:v>280.5</c:v>
                </c:pt>
                <c:pt idx="580">
                  <c:v>280.5</c:v>
                </c:pt>
                <c:pt idx="581">
                  <c:v>280.60000000000002</c:v>
                </c:pt>
                <c:pt idx="582">
                  <c:v>280.60000000000002</c:v>
                </c:pt>
                <c:pt idx="583">
                  <c:v>280.60000000000002</c:v>
                </c:pt>
                <c:pt idx="584">
                  <c:v>280.60000000000002</c:v>
                </c:pt>
                <c:pt idx="585">
                  <c:v>280.60000000000002</c:v>
                </c:pt>
                <c:pt idx="586">
                  <c:v>280.7</c:v>
                </c:pt>
                <c:pt idx="587">
                  <c:v>280.7</c:v>
                </c:pt>
                <c:pt idx="588">
                  <c:v>280.7</c:v>
                </c:pt>
                <c:pt idx="589">
                  <c:v>280.7</c:v>
                </c:pt>
                <c:pt idx="590">
                  <c:v>280.8</c:v>
                </c:pt>
                <c:pt idx="591">
                  <c:v>280.8</c:v>
                </c:pt>
                <c:pt idx="592">
                  <c:v>280.8</c:v>
                </c:pt>
                <c:pt idx="593">
                  <c:v>280.8</c:v>
                </c:pt>
                <c:pt idx="594">
                  <c:v>280.8</c:v>
                </c:pt>
                <c:pt idx="595">
                  <c:v>280.8</c:v>
                </c:pt>
                <c:pt idx="596">
                  <c:v>280.8</c:v>
                </c:pt>
                <c:pt idx="597">
                  <c:v>280.8</c:v>
                </c:pt>
                <c:pt idx="598">
                  <c:v>280.8</c:v>
                </c:pt>
                <c:pt idx="599">
                  <c:v>280.8</c:v>
                </c:pt>
                <c:pt idx="600">
                  <c:v>280.8</c:v>
                </c:pt>
                <c:pt idx="601">
                  <c:v>280.8</c:v>
                </c:pt>
                <c:pt idx="602">
                  <c:v>280.7</c:v>
                </c:pt>
                <c:pt idx="603">
                  <c:v>280.7</c:v>
                </c:pt>
                <c:pt idx="604">
                  <c:v>280.7</c:v>
                </c:pt>
                <c:pt idx="605">
                  <c:v>280.7</c:v>
                </c:pt>
                <c:pt idx="606">
                  <c:v>280.7</c:v>
                </c:pt>
                <c:pt idx="607">
                  <c:v>280.60000000000002</c:v>
                </c:pt>
                <c:pt idx="608">
                  <c:v>280.60000000000002</c:v>
                </c:pt>
                <c:pt idx="609">
                  <c:v>280.60000000000002</c:v>
                </c:pt>
                <c:pt idx="610">
                  <c:v>280.5</c:v>
                </c:pt>
                <c:pt idx="611">
                  <c:v>280.5</c:v>
                </c:pt>
                <c:pt idx="612">
                  <c:v>280.39999999999998</c:v>
                </c:pt>
                <c:pt idx="613">
                  <c:v>280.39999999999998</c:v>
                </c:pt>
                <c:pt idx="614">
                  <c:v>280.3</c:v>
                </c:pt>
                <c:pt idx="615">
                  <c:v>280.2</c:v>
                </c:pt>
                <c:pt idx="616">
                  <c:v>280.10000000000002</c:v>
                </c:pt>
                <c:pt idx="617">
                  <c:v>280</c:v>
                </c:pt>
                <c:pt idx="618">
                  <c:v>279.8</c:v>
                </c:pt>
                <c:pt idx="619">
                  <c:v>279.7</c:v>
                </c:pt>
                <c:pt idx="620">
                  <c:v>279.5</c:v>
                </c:pt>
                <c:pt idx="621">
                  <c:v>279.3</c:v>
                </c:pt>
                <c:pt idx="622">
                  <c:v>279.10000000000002</c:v>
                </c:pt>
                <c:pt idx="623">
                  <c:v>278.8</c:v>
                </c:pt>
                <c:pt idx="624">
                  <c:v>278.60000000000002</c:v>
                </c:pt>
                <c:pt idx="625">
                  <c:v>278.3</c:v>
                </c:pt>
                <c:pt idx="626">
                  <c:v>278</c:v>
                </c:pt>
                <c:pt idx="627">
                  <c:v>277.60000000000002</c:v>
                </c:pt>
                <c:pt idx="628">
                  <c:v>277.2</c:v>
                </c:pt>
                <c:pt idx="629">
                  <c:v>276.7</c:v>
                </c:pt>
                <c:pt idx="630">
                  <c:v>276.2</c:v>
                </c:pt>
                <c:pt idx="631">
                  <c:v>275.7</c:v>
                </c:pt>
                <c:pt idx="632">
                  <c:v>275</c:v>
                </c:pt>
                <c:pt idx="633">
                  <c:v>274</c:v>
                </c:pt>
                <c:pt idx="634">
                  <c:v>272.89999999999998</c:v>
                </c:pt>
                <c:pt idx="635">
                  <c:v>271.7</c:v>
                </c:pt>
                <c:pt idx="636">
                  <c:v>270.5</c:v>
                </c:pt>
                <c:pt idx="637">
                  <c:v>269.10000000000002</c:v>
                </c:pt>
                <c:pt idx="638">
                  <c:v>266.39999999999998</c:v>
                </c:pt>
                <c:pt idx="639">
                  <c:v>263.2</c:v>
                </c:pt>
                <c:pt idx="640">
                  <c:v>259.89999999999998</c:v>
                </c:pt>
                <c:pt idx="641">
                  <c:v>256.89999999999998</c:v>
                </c:pt>
                <c:pt idx="642">
                  <c:v>254.1</c:v>
                </c:pt>
                <c:pt idx="643">
                  <c:v>248.9</c:v>
                </c:pt>
                <c:pt idx="644">
                  <c:v>242.3</c:v>
                </c:pt>
                <c:pt idx="645">
                  <c:v>235.9</c:v>
                </c:pt>
                <c:pt idx="646">
                  <c:v>230</c:v>
                </c:pt>
                <c:pt idx="647">
                  <c:v>224.9</c:v>
                </c:pt>
                <c:pt idx="648">
                  <c:v>218.7</c:v>
                </c:pt>
                <c:pt idx="649">
                  <c:v>209.8</c:v>
                </c:pt>
                <c:pt idx="650">
                  <c:v>201.4</c:v>
                </c:pt>
                <c:pt idx="651">
                  <c:v>193.9</c:v>
                </c:pt>
                <c:pt idx="652">
                  <c:v>187.4</c:v>
                </c:pt>
                <c:pt idx="653">
                  <c:v>181.3</c:v>
                </c:pt>
                <c:pt idx="654">
                  <c:v>172.9</c:v>
                </c:pt>
                <c:pt idx="655">
                  <c:v>164.8</c:v>
                </c:pt>
                <c:pt idx="656">
                  <c:v>157.6</c:v>
                </c:pt>
                <c:pt idx="657">
                  <c:v>151.30000000000001</c:v>
                </c:pt>
                <c:pt idx="658">
                  <c:v>145.69999999999999</c:v>
                </c:pt>
                <c:pt idx="659">
                  <c:v>139.4</c:v>
                </c:pt>
                <c:pt idx="660">
                  <c:v>132.9</c:v>
                </c:pt>
                <c:pt idx="661">
                  <c:v>127.1</c:v>
                </c:pt>
                <c:pt idx="662">
                  <c:v>122</c:v>
                </c:pt>
                <c:pt idx="663">
                  <c:v>117.5</c:v>
                </c:pt>
                <c:pt idx="664">
                  <c:v>113</c:v>
                </c:pt>
                <c:pt idx="665">
                  <c:v>108.4</c:v>
                </c:pt>
                <c:pt idx="666">
                  <c:v>104.3</c:v>
                </c:pt>
                <c:pt idx="667">
                  <c:v>100.5</c:v>
                </c:pt>
                <c:pt idx="668">
                  <c:v>97.1</c:v>
                </c:pt>
                <c:pt idx="669">
                  <c:v>93.9</c:v>
                </c:pt>
                <c:pt idx="670">
                  <c:v>90.8</c:v>
                </c:pt>
                <c:pt idx="671">
                  <c:v>87.8</c:v>
                </c:pt>
                <c:pt idx="672">
                  <c:v>85.1</c:v>
                </c:pt>
                <c:pt idx="673">
                  <c:v>82.6</c:v>
                </c:pt>
                <c:pt idx="674">
                  <c:v>80.3</c:v>
                </c:pt>
                <c:pt idx="675">
                  <c:v>78</c:v>
                </c:pt>
                <c:pt idx="676">
                  <c:v>75.900000000000006</c:v>
                </c:pt>
                <c:pt idx="677">
                  <c:v>73.900000000000006</c:v>
                </c:pt>
                <c:pt idx="678">
                  <c:v>72</c:v>
                </c:pt>
                <c:pt idx="679">
                  <c:v>70.3</c:v>
                </c:pt>
                <c:pt idx="680">
                  <c:v>68.599999999999994</c:v>
                </c:pt>
                <c:pt idx="681">
                  <c:v>67</c:v>
                </c:pt>
                <c:pt idx="682">
                  <c:v>65.5</c:v>
                </c:pt>
                <c:pt idx="683">
                  <c:v>64.099999999999994</c:v>
                </c:pt>
                <c:pt idx="684">
                  <c:v>62.7</c:v>
                </c:pt>
                <c:pt idx="685">
                  <c:v>61.4</c:v>
                </c:pt>
                <c:pt idx="686">
                  <c:v>60.2</c:v>
                </c:pt>
                <c:pt idx="687">
                  <c:v>59.1</c:v>
                </c:pt>
                <c:pt idx="688">
                  <c:v>57.9</c:v>
                </c:pt>
                <c:pt idx="689">
                  <c:v>56.9</c:v>
                </c:pt>
                <c:pt idx="690">
                  <c:v>55.8</c:v>
                </c:pt>
                <c:pt idx="691">
                  <c:v>54.9</c:v>
                </c:pt>
                <c:pt idx="692">
                  <c:v>53.9</c:v>
                </c:pt>
                <c:pt idx="693">
                  <c:v>53</c:v>
                </c:pt>
                <c:pt idx="694">
                  <c:v>52.1</c:v>
                </c:pt>
                <c:pt idx="695">
                  <c:v>51.3</c:v>
                </c:pt>
                <c:pt idx="696">
                  <c:v>50.5</c:v>
                </c:pt>
                <c:pt idx="697">
                  <c:v>49.7</c:v>
                </c:pt>
                <c:pt idx="698">
                  <c:v>48.9</c:v>
                </c:pt>
                <c:pt idx="699">
                  <c:v>48.2</c:v>
                </c:pt>
                <c:pt idx="700">
                  <c:v>47.5</c:v>
                </c:pt>
                <c:pt idx="701">
                  <c:v>46.8</c:v>
                </c:pt>
                <c:pt idx="702">
                  <c:v>46.1</c:v>
                </c:pt>
                <c:pt idx="703">
                  <c:v>45.5</c:v>
                </c:pt>
                <c:pt idx="704">
                  <c:v>44.8</c:v>
                </c:pt>
                <c:pt idx="705">
                  <c:v>44.2</c:v>
                </c:pt>
                <c:pt idx="706">
                  <c:v>43.6</c:v>
                </c:pt>
                <c:pt idx="707">
                  <c:v>43.1</c:v>
                </c:pt>
                <c:pt idx="708">
                  <c:v>42.5</c:v>
                </c:pt>
                <c:pt idx="709">
                  <c:v>42</c:v>
                </c:pt>
                <c:pt idx="710">
                  <c:v>41.5</c:v>
                </c:pt>
                <c:pt idx="711">
                  <c:v>40.9</c:v>
                </c:pt>
                <c:pt idx="712">
                  <c:v>40.5</c:v>
                </c:pt>
                <c:pt idx="713">
                  <c:v>40</c:v>
                </c:pt>
                <c:pt idx="714">
                  <c:v>39.5</c:v>
                </c:pt>
                <c:pt idx="715">
                  <c:v>39.1</c:v>
                </c:pt>
                <c:pt idx="716">
                  <c:v>38.6</c:v>
                </c:pt>
                <c:pt idx="717">
                  <c:v>38.200000000000003</c:v>
                </c:pt>
                <c:pt idx="718">
                  <c:v>37.799999999999997</c:v>
                </c:pt>
                <c:pt idx="719">
                  <c:v>37.4</c:v>
                </c:pt>
                <c:pt idx="720">
                  <c:v>37</c:v>
                </c:pt>
                <c:pt idx="721">
                  <c:v>36.6</c:v>
                </c:pt>
                <c:pt idx="722">
                  <c:v>36.200000000000003</c:v>
                </c:pt>
                <c:pt idx="723">
                  <c:v>35.9</c:v>
                </c:pt>
                <c:pt idx="724">
                  <c:v>35.5</c:v>
                </c:pt>
                <c:pt idx="725">
                  <c:v>35.200000000000003</c:v>
                </c:pt>
                <c:pt idx="726">
                  <c:v>34.799999999999997</c:v>
                </c:pt>
                <c:pt idx="727">
                  <c:v>34.5</c:v>
                </c:pt>
                <c:pt idx="728">
                  <c:v>34.200000000000003</c:v>
                </c:pt>
                <c:pt idx="729">
                  <c:v>33.799999999999997</c:v>
                </c:pt>
                <c:pt idx="730">
                  <c:v>33.5</c:v>
                </c:pt>
                <c:pt idx="731">
                  <c:v>33.200000000000003</c:v>
                </c:pt>
                <c:pt idx="732">
                  <c:v>33</c:v>
                </c:pt>
                <c:pt idx="733">
                  <c:v>32.700000000000003</c:v>
                </c:pt>
                <c:pt idx="734">
                  <c:v>32.4</c:v>
                </c:pt>
                <c:pt idx="735">
                  <c:v>32.1</c:v>
                </c:pt>
                <c:pt idx="736">
                  <c:v>31.9</c:v>
                </c:pt>
                <c:pt idx="737">
                  <c:v>31.6</c:v>
                </c:pt>
                <c:pt idx="738">
                  <c:v>31.3</c:v>
                </c:pt>
                <c:pt idx="739">
                  <c:v>31.1</c:v>
                </c:pt>
                <c:pt idx="740">
                  <c:v>30.9</c:v>
                </c:pt>
                <c:pt idx="741">
                  <c:v>30.6</c:v>
                </c:pt>
                <c:pt idx="742">
                  <c:v>30.4</c:v>
                </c:pt>
                <c:pt idx="743">
                  <c:v>30.2</c:v>
                </c:pt>
                <c:pt idx="744">
                  <c:v>29.9</c:v>
                </c:pt>
                <c:pt idx="745">
                  <c:v>29.7</c:v>
                </c:pt>
                <c:pt idx="746">
                  <c:v>29.5</c:v>
                </c:pt>
                <c:pt idx="747">
                  <c:v>29.3</c:v>
                </c:pt>
                <c:pt idx="748">
                  <c:v>29.1</c:v>
                </c:pt>
                <c:pt idx="749">
                  <c:v>28.9</c:v>
                </c:pt>
                <c:pt idx="750">
                  <c:v>28.7</c:v>
                </c:pt>
                <c:pt idx="751">
                  <c:v>28.5</c:v>
                </c:pt>
                <c:pt idx="752">
                  <c:v>28.4</c:v>
                </c:pt>
                <c:pt idx="753">
                  <c:v>28.2</c:v>
                </c:pt>
                <c:pt idx="754">
                  <c:v>28</c:v>
                </c:pt>
                <c:pt idx="755">
                  <c:v>27.8</c:v>
                </c:pt>
                <c:pt idx="756">
                  <c:v>27.7</c:v>
                </c:pt>
                <c:pt idx="757">
                  <c:v>27.5</c:v>
                </c:pt>
                <c:pt idx="758">
                  <c:v>27.3</c:v>
                </c:pt>
                <c:pt idx="759">
                  <c:v>27.2</c:v>
                </c:pt>
                <c:pt idx="760">
                  <c:v>27</c:v>
                </c:pt>
                <c:pt idx="761">
                  <c:v>26.9</c:v>
                </c:pt>
                <c:pt idx="762">
                  <c:v>26.7</c:v>
                </c:pt>
                <c:pt idx="763">
                  <c:v>26.6</c:v>
                </c:pt>
                <c:pt idx="764">
                  <c:v>26.4</c:v>
                </c:pt>
                <c:pt idx="765">
                  <c:v>26.3</c:v>
                </c:pt>
                <c:pt idx="766">
                  <c:v>26.1</c:v>
                </c:pt>
                <c:pt idx="767">
                  <c:v>26</c:v>
                </c:pt>
                <c:pt idx="768">
                  <c:v>25.9</c:v>
                </c:pt>
                <c:pt idx="769">
                  <c:v>25.8</c:v>
                </c:pt>
                <c:pt idx="770">
                  <c:v>25.6</c:v>
                </c:pt>
                <c:pt idx="771">
                  <c:v>25.5</c:v>
                </c:pt>
                <c:pt idx="772">
                  <c:v>25.4</c:v>
                </c:pt>
                <c:pt idx="773">
                  <c:v>25.3</c:v>
                </c:pt>
                <c:pt idx="774">
                  <c:v>25.1</c:v>
                </c:pt>
                <c:pt idx="775">
                  <c:v>25</c:v>
                </c:pt>
                <c:pt idx="776">
                  <c:v>24.9</c:v>
                </c:pt>
                <c:pt idx="777">
                  <c:v>24.8</c:v>
                </c:pt>
                <c:pt idx="778">
                  <c:v>24.7</c:v>
                </c:pt>
                <c:pt idx="779">
                  <c:v>24.6</c:v>
                </c:pt>
                <c:pt idx="780">
                  <c:v>24.5</c:v>
                </c:pt>
                <c:pt idx="781">
                  <c:v>24.4</c:v>
                </c:pt>
                <c:pt idx="782">
                  <c:v>24.3</c:v>
                </c:pt>
                <c:pt idx="783">
                  <c:v>24.2</c:v>
                </c:pt>
                <c:pt idx="784">
                  <c:v>24.1</c:v>
                </c:pt>
                <c:pt idx="785">
                  <c:v>24</c:v>
                </c:pt>
                <c:pt idx="786">
                  <c:v>23.9</c:v>
                </c:pt>
                <c:pt idx="787">
                  <c:v>23.8</c:v>
                </c:pt>
                <c:pt idx="788">
                  <c:v>23.7</c:v>
                </c:pt>
                <c:pt idx="789">
                  <c:v>23.6</c:v>
                </c:pt>
                <c:pt idx="790">
                  <c:v>23.6</c:v>
                </c:pt>
                <c:pt idx="791">
                  <c:v>23.5</c:v>
                </c:pt>
                <c:pt idx="792">
                  <c:v>23.4</c:v>
                </c:pt>
                <c:pt idx="793">
                  <c:v>23.3</c:v>
                </c:pt>
                <c:pt idx="794">
                  <c:v>23.2</c:v>
                </c:pt>
                <c:pt idx="795">
                  <c:v>23.2</c:v>
                </c:pt>
                <c:pt idx="796">
                  <c:v>23.1</c:v>
                </c:pt>
                <c:pt idx="797">
                  <c:v>23</c:v>
                </c:pt>
                <c:pt idx="798">
                  <c:v>22.9</c:v>
                </c:pt>
                <c:pt idx="799">
                  <c:v>22.9</c:v>
                </c:pt>
                <c:pt idx="800">
                  <c:v>22.8</c:v>
                </c:pt>
                <c:pt idx="801">
                  <c:v>22.7</c:v>
                </c:pt>
                <c:pt idx="802">
                  <c:v>22.7</c:v>
                </c:pt>
                <c:pt idx="803">
                  <c:v>22.6</c:v>
                </c:pt>
                <c:pt idx="804">
                  <c:v>22.5</c:v>
                </c:pt>
                <c:pt idx="805">
                  <c:v>22.5</c:v>
                </c:pt>
                <c:pt idx="806">
                  <c:v>22.4</c:v>
                </c:pt>
                <c:pt idx="807">
                  <c:v>22.4</c:v>
                </c:pt>
                <c:pt idx="808">
                  <c:v>22.3</c:v>
                </c:pt>
                <c:pt idx="809">
                  <c:v>22.2</c:v>
                </c:pt>
                <c:pt idx="810">
                  <c:v>22.2</c:v>
                </c:pt>
                <c:pt idx="811">
                  <c:v>22.1</c:v>
                </c:pt>
                <c:pt idx="812">
                  <c:v>22.1</c:v>
                </c:pt>
                <c:pt idx="813">
                  <c:v>22</c:v>
                </c:pt>
                <c:pt idx="814">
                  <c:v>22</c:v>
                </c:pt>
                <c:pt idx="815">
                  <c:v>21.9</c:v>
                </c:pt>
                <c:pt idx="816">
                  <c:v>21.9</c:v>
                </c:pt>
                <c:pt idx="817">
                  <c:v>21.8</c:v>
                </c:pt>
                <c:pt idx="818">
                  <c:v>21.8</c:v>
                </c:pt>
                <c:pt idx="819">
                  <c:v>21.7</c:v>
                </c:pt>
                <c:pt idx="820">
                  <c:v>21.7</c:v>
                </c:pt>
                <c:pt idx="821">
                  <c:v>21.6</c:v>
                </c:pt>
                <c:pt idx="822">
                  <c:v>21.6</c:v>
                </c:pt>
                <c:pt idx="823">
                  <c:v>21.5</c:v>
                </c:pt>
                <c:pt idx="824">
                  <c:v>21.5</c:v>
                </c:pt>
                <c:pt idx="825">
                  <c:v>21.5</c:v>
                </c:pt>
                <c:pt idx="826">
                  <c:v>21.4</c:v>
                </c:pt>
                <c:pt idx="827">
                  <c:v>21.4</c:v>
                </c:pt>
                <c:pt idx="828">
                  <c:v>21.3</c:v>
                </c:pt>
                <c:pt idx="829">
                  <c:v>21.3</c:v>
                </c:pt>
                <c:pt idx="830">
                  <c:v>21.3</c:v>
                </c:pt>
                <c:pt idx="831">
                  <c:v>21.2</c:v>
                </c:pt>
                <c:pt idx="832">
                  <c:v>21.2</c:v>
                </c:pt>
                <c:pt idx="833">
                  <c:v>21.2</c:v>
                </c:pt>
                <c:pt idx="834">
                  <c:v>21.1</c:v>
                </c:pt>
                <c:pt idx="835">
                  <c:v>21.1</c:v>
                </c:pt>
                <c:pt idx="836">
                  <c:v>21.1</c:v>
                </c:pt>
                <c:pt idx="837">
                  <c:v>21</c:v>
                </c:pt>
                <c:pt idx="838">
                  <c:v>21</c:v>
                </c:pt>
                <c:pt idx="839">
                  <c:v>21</c:v>
                </c:pt>
                <c:pt idx="840">
                  <c:v>20.9</c:v>
                </c:pt>
                <c:pt idx="841">
                  <c:v>20.9</c:v>
                </c:pt>
                <c:pt idx="842">
                  <c:v>20.9</c:v>
                </c:pt>
                <c:pt idx="843">
                  <c:v>20.8</c:v>
                </c:pt>
                <c:pt idx="844">
                  <c:v>20.8</c:v>
                </c:pt>
                <c:pt idx="845">
                  <c:v>20.8</c:v>
                </c:pt>
                <c:pt idx="846">
                  <c:v>20.8</c:v>
                </c:pt>
                <c:pt idx="847">
                  <c:v>20.7</c:v>
                </c:pt>
                <c:pt idx="848">
                  <c:v>20.7</c:v>
                </c:pt>
                <c:pt idx="849">
                  <c:v>20.7</c:v>
                </c:pt>
                <c:pt idx="850">
                  <c:v>20.7</c:v>
                </c:pt>
                <c:pt idx="851">
                  <c:v>20.7</c:v>
                </c:pt>
                <c:pt idx="852">
                  <c:v>20.6</c:v>
                </c:pt>
                <c:pt idx="853">
                  <c:v>20.6</c:v>
                </c:pt>
                <c:pt idx="854">
                  <c:v>20.6</c:v>
                </c:pt>
                <c:pt idx="855">
                  <c:v>20.6</c:v>
                </c:pt>
                <c:pt idx="856">
                  <c:v>20.6</c:v>
                </c:pt>
                <c:pt idx="857">
                  <c:v>20.5</c:v>
                </c:pt>
                <c:pt idx="858">
                  <c:v>20.5</c:v>
                </c:pt>
                <c:pt idx="859">
                  <c:v>20.5</c:v>
                </c:pt>
                <c:pt idx="860">
                  <c:v>20.5</c:v>
                </c:pt>
                <c:pt idx="861">
                  <c:v>20.5</c:v>
                </c:pt>
                <c:pt idx="862">
                  <c:v>20.399999999999999</c:v>
                </c:pt>
                <c:pt idx="863">
                  <c:v>20.399999999999999</c:v>
                </c:pt>
                <c:pt idx="864">
                  <c:v>20.399999999999999</c:v>
                </c:pt>
                <c:pt idx="865">
                  <c:v>20.399999999999999</c:v>
                </c:pt>
                <c:pt idx="866">
                  <c:v>20.399999999999999</c:v>
                </c:pt>
                <c:pt idx="867">
                  <c:v>20.399999999999999</c:v>
                </c:pt>
                <c:pt idx="868">
                  <c:v>20.399999999999999</c:v>
                </c:pt>
                <c:pt idx="869">
                  <c:v>20.399999999999999</c:v>
                </c:pt>
                <c:pt idx="870">
                  <c:v>20.3</c:v>
                </c:pt>
                <c:pt idx="871">
                  <c:v>20.3</c:v>
                </c:pt>
                <c:pt idx="872">
                  <c:v>20.3</c:v>
                </c:pt>
                <c:pt idx="873">
                  <c:v>20.3</c:v>
                </c:pt>
                <c:pt idx="874">
                  <c:v>20.3</c:v>
                </c:pt>
                <c:pt idx="875">
                  <c:v>20.3</c:v>
                </c:pt>
                <c:pt idx="876">
                  <c:v>20.3</c:v>
                </c:pt>
                <c:pt idx="877">
                  <c:v>20.3</c:v>
                </c:pt>
                <c:pt idx="878">
                  <c:v>20.3</c:v>
                </c:pt>
                <c:pt idx="879">
                  <c:v>20.3</c:v>
                </c:pt>
                <c:pt idx="880">
                  <c:v>20.2</c:v>
                </c:pt>
                <c:pt idx="881">
                  <c:v>20.2</c:v>
                </c:pt>
                <c:pt idx="882">
                  <c:v>20.2</c:v>
                </c:pt>
                <c:pt idx="883">
                  <c:v>20.2</c:v>
                </c:pt>
                <c:pt idx="884">
                  <c:v>20.2</c:v>
                </c:pt>
                <c:pt idx="885">
                  <c:v>20.2</c:v>
                </c:pt>
                <c:pt idx="886">
                  <c:v>20.2</c:v>
                </c:pt>
                <c:pt idx="887">
                  <c:v>20.2</c:v>
                </c:pt>
                <c:pt idx="888">
                  <c:v>20.2</c:v>
                </c:pt>
                <c:pt idx="889">
                  <c:v>20.2</c:v>
                </c:pt>
                <c:pt idx="890">
                  <c:v>20.2</c:v>
                </c:pt>
                <c:pt idx="891">
                  <c:v>20.2</c:v>
                </c:pt>
                <c:pt idx="892">
                  <c:v>20.2</c:v>
                </c:pt>
                <c:pt idx="893">
                  <c:v>20.2</c:v>
                </c:pt>
                <c:pt idx="894">
                  <c:v>20.2</c:v>
                </c:pt>
                <c:pt idx="895">
                  <c:v>20.2</c:v>
                </c:pt>
                <c:pt idx="896">
                  <c:v>20.2</c:v>
                </c:pt>
                <c:pt idx="897">
                  <c:v>20.2</c:v>
                </c:pt>
                <c:pt idx="898">
                  <c:v>20.2</c:v>
                </c:pt>
                <c:pt idx="899">
                  <c:v>20.2</c:v>
                </c:pt>
                <c:pt idx="900">
                  <c:v>20.2</c:v>
                </c:pt>
                <c:pt idx="901">
                  <c:v>20.2</c:v>
                </c:pt>
                <c:pt idx="902">
                  <c:v>20.2</c:v>
                </c:pt>
                <c:pt idx="903">
                  <c:v>20.2</c:v>
                </c:pt>
                <c:pt idx="904">
                  <c:v>20.2</c:v>
                </c:pt>
                <c:pt idx="905">
                  <c:v>20.2</c:v>
                </c:pt>
                <c:pt idx="906">
                  <c:v>20.2</c:v>
                </c:pt>
                <c:pt idx="907">
                  <c:v>20.2</c:v>
                </c:pt>
                <c:pt idx="908">
                  <c:v>20.2</c:v>
                </c:pt>
                <c:pt idx="909">
                  <c:v>20.2</c:v>
                </c:pt>
                <c:pt idx="910">
                  <c:v>20.2</c:v>
                </c:pt>
                <c:pt idx="911">
                  <c:v>20.2</c:v>
                </c:pt>
                <c:pt idx="912">
                  <c:v>20.2</c:v>
                </c:pt>
                <c:pt idx="913">
                  <c:v>20.2</c:v>
                </c:pt>
                <c:pt idx="914">
                  <c:v>20.2</c:v>
                </c:pt>
                <c:pt idx="915">
                  <c:v>20.3</c:v>
                </c:pt>
                <c:pt idx="916">
                  <c:v>20.3</c:v>
                </c:pt>
                <c:pt idx="917">
                  <c:v>20.3</c:v>
                </c:pt>
                <c:pt idx="918">
                  <c:v>20.3</c:v>
                </c:pt>
                <c:pt idx="919">
                  <c:v>20.3</c:v>
                </c:pt>
                <c:pt idx="920">
                  <c:v>20.3</c:v>
                </c:pt>
                <c:pt idx="921">
                  <c:v>20.3</c:v>
                </c:pt>
                <c:pt idx="922">
                  <c:v>20.3</c:v>
                </c:pt>
                <c:pt idx="923">
                  <c:v>20.3</c:v>
                </c:pt>
                <c:pt idx="924">
                  <c:v>20.3</c:v>
                </c:pt>
                <c:pt idx="925">
                  <c:v>20.3</c:v>
                </c:pt>
                <c:pt idx="926">
                  <c:v>20.3</c:v>
                </c:pt>
                <c:pt idx="927">
                  <c:v>20.399999999999999</c:v>
                </c:pt>
                <c:pt idx="928">
                  <c:v>20.399999999999999</c:v>
                </c:pt>
                <c:pt idx="929">
                  <c:v>20.399999999999999</c:v>
                </c:pt>
                <c:pt idx="930">
                  <c:v>20.399999999999999</c:v>
                </c:pt>
                <c:pt idx="931">
                  <c:v>20.399999999999999</c:v>
                </c:pt>
                <c:pt idx="932">
                  <c:v>20.399999999999999</c:v>
                </c:pt>
                <c:pt idx="933">
                  <c:v>20.399999999999999</c:v>
                </c:pt>
                <c:pt idx="934">
                  <c:v>20.399999999999999</c:v>
                </c:pt>
                <c:pt idx="935">
                  <c:v>20.5</c:v>
                </c:pt>
                <c:pt idx="936">
                  <c:v>20.5</c:v>
                </c:pt>
                <c:pt idx="937">
                  <c:v>20.5</c:v>
                </c:pt>
                <c:pt idx="938">
                  <c:v>20.5</c:v>
                </c:pt>
                <c:pt idx="939">
                  <c:v>20.5</c:v>
                </c:pt>
                <c:pt idx="940">
                  <c:v>20.5</c:v>
                </c:pt>
                <c:pt idx="941">
                  <c:v>20.5</c:v>
                </c:pt>
                <c:pt idx="942">
                  <c:v>20.6</c:v>
                </c:pt>
                <c:pt idx="943">
                  <c:v>20.6</c:v>
                </c:pt>
                <c:pt idx="944">
                  <c:v>20.6</c:v>
                </c:pt>
                <c:pt idx="945">
                  <c:v>20.6</c:v>
                </c:pt>
                <c:pt idx="946">
                  <c:v>20.6</c:v>
                </c:pt>
                <c:pt idx="947">
                  <c:v>20.6</c:v>
                </c:pt>
                <c:pt idx="948">
                  <c:v>20.7</c:v>
                </c:pt>
                <c:pt idx="949">
                  <c:v>20.7</c:v>
                </c:pt>
                <c:pt idx="950">
                  <c:v>20.7</c:v>
                </c:pt>
                <c:pt idx="951">
                  <c:v>20.7</c:v>
                </c:pt>
                <c:pt idx="952">
                  <c:v>20.7</c:v>
                </c:pt>
                <c:pt idx="953">
                  <c:v>20.8</c:v>
                </c:pt>
                <c:pt idx="954">
                  <c:v>20.8</c:v>
                </c:pt>
                <c:pt idx="955">
                  <c:v>20.8</c:v>
                </c:pt>
                <c:pt idx="956">
                  <c:v>20.8</c:v>
                </c:pt>
                <c:pt idx="957">
                  <c:v>20.8</c:v>
                </c:pt>
                <c:pt idx="958">
                  <c:v>20.9</c:v>
                </c:pt>
                <c:pt idx="959">
                  <c:v>20.9</c:v>
                </c:pt>
                <c:pt idx="960">
                  <c:v>20.9</c:v>
                </c:pt>
                <c:pt idx="961">
                  <c:v>20.9</c:v>
                </c:pt>
                <c:pt idx="962">
                  <c:v>20.9</c:v>
                </c:pt>
                <c:pt idx="963">
                  <c:v>21</c:v>
                </c:pt>
                <c:pt idx="964">
                  <c:v>21</c:v>
                </c:pt>
                <c:pt idx="965">
                  <c:v>21</c:v>
                </c:pt>
                <c:pt idx="966">
                  <c:v>21</c:v>
                </c:pt>
                <c:pt idx="967">
                  <c:v>21.1</c:v>
                </c:pt>
                <c:pt idx="968">
                  <c:v>21.1</c:v>
                </c:pt>
                <c:pt idx="969">
                  <c:v>21.1</c:v>
                </c:pt>
                <c:pt idx="970">
                  <c:v>21.1</c:v>
                </c:pt>
                <c:pt idx="971">
                  <c:v>21.2</c:v>
                </c:pt>
                <c:pt idx="972">
                  <c:v>21.2</c:v>
                </c:pt>
                <c:pt idx="973">
                  <c:v>21.2</c:v>
                </c:pt>
                <c:pt idx="974">
                  <c:v>21.2</c:v>
                </c:pt>
                <c:pt idx="975">
                  <c:v>21.3</c:v>
                </c:pt>
                <c:pt idx="976">
                  <c:v>21.3</c:v>
                </c:pt>
                <c:pt idx="977">
                  <c:v>21.3</c:v>
                </c:pt>
                <c:pt idx="978">
                  <c:v>21.3</c:v>
                </c:pt>
                <c:pt idx="979">
                  <c:v>21.4</c:v>
                </c:pt>
                <c:pt idx="980">
                  <c:v>21.4</c:v>
                </c:pt>
                <c:pt idx="981">
                  <c:v>21.4</c:v>
                </c:pt>
                <c:pt idx="982">
                  <c:v>21.5</c:v>
                </c:pt>
                <c:pt idx="983">
                  <c:v>21.5</c:v>
                </c:pt>
                <c:pt idx="984">
                  <c:v>21.5</c:v>
                </c:pt>
                <c:pt idx="985">
                  <c:v>21.6</c:v>
                </c:pt>
                <c:pt idx="986">
                  <c:v>21.6</c:v>
                </c:pt>
                <c:pt idx="987">
                  <c:v>21.6</c:v>
                </c:pt>
                <c:pt idx="988">
                  <c:v>21.7</c:v>
                </c:pt>
                <c:pt idx="989">
                  <c:v>21.7</c:v>
                </c:pt>
                <c:pt idx="990">
                  <c:v>21.7</c:v>
                </c:pt>
                <c:pt idx="991">
                  <c:v>21.8</c:v>
                </c:pt>
                <c:pt idx="992">
                  <c:v>21.8</c:v>
                </c:pt>
                <c:pt idx="993">
                  <c:v>21.8</c:v>
                </c:pt>
                <c:pt idx="994">
                  <c:v>21.9</c:v>
                </c:pt>
                <c:pt idx="995">
                  <c:v>21.9</c:v>
                </c:pt>
                <c:pt idx="996">
                  <c:v>21.9</c:v>
                </c:pt>
                <c:pt idx="997">
                  <c:v>22</c:v>
                </c:pt>
                <c:pt idx="998">
                  <c:v>22</c:v>
                </c:pt>
                <c:pt idx="999">
                  <c:v>22</c:v>
                </c:pt>
                <c:pt idx="1000">
                  <c:v>22.1</c:v>
                </c:pt>
                <c:pt idx="1001">
                  <c:v>22.1</c:v>
                </c:pt>
                <c:pt idx="1002">
                  <c:v>22.2</c:v>
                </c:pt>
                <c:pt idx="1003">
                  <c:v>22.2</c:v>
                </c:pt>
                <c:pt idx="1004">
                  <c:v>22.2</c:v>
                </c:pt>
                <c:pt idx="1005">
                  <c:v>22.3</c:v>
                </c:pt>
                <c:pt idx="1006">
                  <c:v>22.3</c:v>
                </c:pt>
                <c:pt idx="1007">
                  <c:v>22.4</c:v>
                </c:pt>
                <c:pt idx="1008">
                  <c:v>22.4</c:v>
                </c:pt>
                <c:pt idx="1009">
                  <c:v>22.5</c:v>
                </c:pt>
                <c:pt idx="1010">
                  <c:v>22.5</c:v>
                </c:pt>
                <c:pt idx="1011">
                  <c:v>22.6</c:v>
                </c:pt>
                <c:pt idx="1012">
                  <c:v>22.6</c:v>
                </c:pt>
                <c:pt idx="1013">
                  <c:v>22.6</c:v>
                </c:pt>
                <c:pt idx="1014">
                  <c:v>22.7</c:v>
                </c:pt>
                <c:pt idx="1015">
                  <c:v>22.7</c:v>
                </c:pt>
                <c:pt idx="1016">
                  <c:v>22.8</c:v>
                </c:pt>
                <c:pt idx="1017">
                  <c:v>22.8</c:v>
                </c:pt>
                <c:pt idx="1018">
                  <c:v>22.9</c:v>
                </c:pt>
                <c:pt idx="1019">
                  <c:v>22.9</c:v>
                </c:pt>
                <c:pt idx="1020">
                  <c:v>23</c:v>
                </c:pt>
                <c:pt idx="1021">
                  <c:v>23</c:v>
                </c:pt>
                <c:pt idx="1022">
                  <c:v>23.1</c:v>
                </c:pt>
                <c:pt idx="1023">
                  <c:v>23.1</c:v>
                </c:pt>
                <c:pt idx="1024">
                  <c:v>23.2</c:v>
                </c:pt>
                <c:pt idx="1025">
                  <c:v>23.3</c:v>
                </c:pt>
                <c:pt idx="1026">
                  <c:v>23.3</c:v>
                </c:pt>
                <c:pt idx="1027">
                  <c:v>23.4</c:v>
                </c:pt>
                <c:pt idx="1028">
                  <c:v>23.4</c:v>
                </c:pt>
                <c:pt idx="1029">
                  <c:v>23.5</c:v>
                </c:pt>
                <c:pt idx="1030">
                  <c:v>23.5</c:v>
                </c:pt>
                <c:pt idx="1031">
                  <c:v>23.6</c:v>
                </c:pt>
                <c:pt idx="1032">
                  <c:v>23.7</c:v>
                </c:pt>
                <c:pt idx="1033">
                  <c:v>23.7</c:v>
                </c:pt>
                <c:pt idx="1034">
                  <c:v>23.8</c:v>
                </c:pt>
                <c:pt idx="1035">
                  <c:v>23.9</c:v>
                </c:pt>
                <c:pt idx="1036">
                  <c:v>23.9</c:v>
                </c:pt>
                <c:pt idx="1037">
                  <c:v>24</c:v>
                </c:pt>
                <c:pt idx="1038">
                  <c:v>24.1</c:v>
                </c:pt>
                <c:pt idx="1039">
                  <c:v>24.1</c:v>
                </c:pt>
                <c:pt idx="1040">
                  <c:v>24.2</c:v>
                </c:pt>
                <c:pt idx="1041">
                  <c:v>24.3</c:v>
                </c:pt>
                <c:pt idx="1042">
                  <c:v>24.4</c:v>
                </c:pt>
                <c:pt idx="1043">
                  <c:v>24.4</c:v>
                </c:pt>
                <c:pt idx="1044">
                  <c:v>24.5</c:v>
                </c:pt>
                <c:pt idx="1045">
                  <c:v>24.6</c:v>
                </c:pt>
                <c:pt idx="1046">
                  <c:v>24.7</c:v>
                </c:pt>
                <c:pt idx="1047">
                  <c:v>24.7</c:v>
                </c:pt>
                <c:pt idx="1048">
                  <c:v>24.8</c:v>
                </c:pt>
                <c:pt idx="1049">
                  <c:v>24.9</c:v>
                </c:pt>
                <c:pt idx="1050">
                  <c:v>25</c:v>
                </c:pt>
                <c:pt idx="1051">
                  <c:v>25.1</c:v>
                </c:pt>
                <c:pt idx="1052">
                  <c:v>25.2</c:v>
                </c:pt>
                <c:pt idx="1053">
                  <c:v>25.3</c:v>
                </c:pt>
                <c:pt idx="1054">
                  <c:v>25.3</c:v>
                </c:pt>
                <c:pt idx="1055">
                  <c:v>25.4</c:v>
                </c:pt>
                <c:pt idx="1056">
                  <c:v>25.5</c:v>
                </c:pt>
                <c:pt idx="1057">
                  <c:v>25.6</c:v>
                </c:pt>
                <c:pt idx="1058">
                  <c:v>25.7</c:v>
                </c:pt>
                <c:pt idx="1059">
                  <c:v>25.8</c:v>
                </c:pt>
                <c:pt idx="1060">
                  <c:v>25.9</c:v>
                </c:pt>
                <c:pt idx="1061">
                  <c:v>26</c:v>
                </c:pt>
                <c:pt idx="1062">
                  <c:v>26.2</c:v>
                </c:pt>
                <c:pt idx="1063">
                  <c:v>26.3</c:v>
                </c:pt>
                <c:pt idx="1064">
                  <c:v>26.4</c:v>
                </c:pt>
                <c:pt idx="1065">
                  <c:v>26.5</c:v>
                </c:pt>
                <c:pt idx="1066">
                  <c:v>26.6</c:v>
                </c:pt>
                <c:pt idx="1067">
                  <c:v>26.7</c:v>
                </c:pt>
                <c:pt idx="1068">
                  <c:v>26.9</c:v>
                </c:pt>
                <c:pt idx="1069">
                  <c:v>27</c:v>
                </c:pt>
                <c:pt idx="1070">
                  <c:v>27.1</c:v>
                </c:pt>
                <c:pt idx="1071">
                  <c:v>27.2</c:v>
                </c:pt>
                <c:pt idx="1072">
                  <c:v>27.4</c:v>
                </c:pt>
                <c:pt idx="1073">
                  <c:v>27.5</c:v>
                </c:pt>
                <c:pt idx="1074">
                  <c:v>27.7</c:v>
                </c:pt>
                <c:pt idx="1075">
                  <c:v>27.8</c:v>
                </c:pt>
                <c:pt idx="1076">
                  <c:v>28</c:v>
                </c:pt>
                <c:pt idx="1077">
                  <c:v>28.1</c:v>
                </c:pt>
                <c:pt idx="1078">
                  <c:v>28.3</c:v>
                </c:pt>
                <c:pt idx="1079">
                  <c:v>28.4</c:v>
                </c:pt>
                <c:pt idx="1080">
                  <c:v>28.6</c:v>
                </c:pt>
                <c:pt idx="1081">
                  <c:v>28.8</c:v>
                </c:pt>
                <c:pt idx="1082">
                  <c:v>28.9</c:v>
                </c:pt>
                <c:pt idx="1083">
                  <c:v>29.1</c:v>
                </c:pt>
                <c:pt idx="1084">
                  <c:v>29.3</c:v>
                </c:pt>
                <c:pt idx="1085">
                  <c:v>29.5</c:v>
                </c:pt>
                <c:pt idx="1086">
                  <c:v>29.7</c:v>
                </c:pt>
                <c:pt idx="1087">
                  <c:v>29.9</c:v>
                </c:pt>
                <c:pt idx="1088">
                  <c:v>30.1</c:v>
                </c:pt>
                <c:pt idx="1089">
                  <c:v>30.3</c:v>
                </c:pt>
                <c:pt idx="1090">
                  <c:v>30.5</c:v>
                </c:pt>
                <c:pt idx="1091">
                  <c:v>30.8</c:v>
                </c:pt>
                <c:pt idx="1092">
                  <c:v>31</c:v>
                </c:pt>
                <c:pt idx="1093">
                  <c:v>31.2</c:v>
                </c:pt>
                <c:pt idx="1094">
                  <c:v>31.5</c:v>
                </c:pt>
                <c:pt idx="1095">
                  <c:v>31.7</c:v>
                </c:pt>
                <c:pt idx="1096">
                  <c:v>32</c:v>
                </c:pt>
                <c:pt idx="1097">
                  <c:v>32.299999999999997</c:v>
                </c:pt>
                <c:pt idx="1098">
                  <c:v>32.5</c:v>
                </c:pt>
                <c:pt idx="1099">
                  <c:v>32.799999999999997</c:v>
                </c:pt>
                <c:pt idx="1100">
                  <c:v>33.1</c:v>
                </c:pt>
                <c:pt idx="1101">
                  <c:v>33.4</c:v>
                </c:pt>
                <c:pt idx="1102">
                  <c:v>33.799999999999997</c:v>
                </c:pt>
                <c:pt idx="1103">
                  <c:v>34.1</c:v>
                </c:pt>
                <c:pt idx="1104">
                  <c:v>34.5</c:v>
                </c:pt>
                <c:pt idx="1105">
                  <c:v>34.799999999999997</c:v>
                </c:pt>
                <c:pt idx="1106">
                  <c:v>35.200000000000003</c:v>
                </c:pt>
                <c:pt idx="1107">
                  <c:v>35.6</c:v>
                </c:pt>
                <c:pt idx="1108">
                  <c:v>36</c:v>
                </c:pt>
                <c:pt idx="1109">
                  <c:v>36.4</c:v>
                </c:pt>
                <c:pt idx="1110">
                  <c:v>36.799999999999997</c:v>
                </c:pt>
                <c:pt idx="1111">
                  <c:v>37.299999999999997</c:v>
                </c:pt>
                <c:pt idx="1112">
                  <c:v>37.700000000000003</c:v>
                </c:pt>
                <c:pt idx="1113">
                  <c:v>38.200000000000003</c:v>
                </c:pt>
                <c:pt idx="1114">
                  <c:v>38.700000000000003</c:v>
                </c:pt>
                <c:pt idx="1115">
                  <c:v>39.299999999999997</c:v>
                </c:pt>
                <c:pt idx="1116">
                  <c:v>39.799999999999997</c:v>
                </c:pt>
                <c:pt idx="1117">
                  <c:v>40.4</c:v>
                </c:pt>
                <c:pt idx="1118">
                  <c:v>41</c:v>
                </c:pt>
                <c:pt idx="1119">
                  <c:v>41.6</c:v>
                </c:pt>
                <c:pt idx="1120">
                  <c:v>42.3</c:v>
                </c:pt>
                <c:pt idx="1121">
                  <c:v>43</c:v>
                </c:pt>
                <c:pt idx="1122">
                  <c:v>43.7</c:v>
                </c:pt>
                <c:pt idx="1123">
                  <c:v>44.5</c:v>
                </c:pt>
                <c:pt idx="1124">
                  <c:v>45.3</c:v>
                </c:pt>
                <c:pt idx="1125">
                  <c:v>46.1</c:v>
                </c:pt>
                <c:pt idx="1126">
                  <c:v>47</c:v>
                </c:pt>
                <c:pt idx="1127">
                  <c:v>47.9</c:v>
                </c:pt>
                <c:pt idx="1128">
                  <c:v>48.9</c:v>
                </c:pt>
                <c:pt idx="1129">
                  <c:v>49.9</c:v>
                </c:pt>
                <c:pt idx="1130">
                  <c:v>51</c:v>
                </c:pt>
                <c:pt idx="1131">
                  <c:v>52.2</c:v>
                </c:pt>
                <c:pt idx="1132">
                  <c:v>53.4</c:v>
                </c:pt>
                <c:pt idx="1133">
                  <c:v>54.7</c:v>
                </c:pt>
                <c:pt idx="1134">
                  <c:v>56</c:v>
                </c:pt>
                <c:pt idx="1135">
                  <c:v>57.4</c:v>
                </c:pt>
                <c:pt idx="1136">
                  <c:v>59</c:v>
                </c:pt>
                <c:pt idx="1137">
                  <c:v>60.6</c:v>
                </c:pt>
                <c:pt idx="1138">
                  <c:v>62.3</c:v>
                </c:pt>
                <c:pt idx="1139">
                  <c:v>64.099999999999994</c:v>
                </c:pt>
                <c:pt idx="1140">
                  <c:v>66.099999999999994</c:v>
                </c:pt>
                <c:pt idx="1141">
                  <c:v>68.099999999999994</c:v>
                </c:pt>
                <c:pt idx="1142">
                  <c:v>70.3</c:v>
                </c:pt>
                <c:pt idx="1143">
                  <c:v>72.7</c:v>
                </c:pt>
                <c:pt idx="1144">
                  <c:v>75.2</c:v>
                </c:pt>
                <c:pt idx="1145">
                  <c:v>77.900000000000006</c:v>
                </c:pt>
                <c:pt idx="1146">
                  <c:v>80.8</c:v>
                </c:pt>
                <c:pt idx="1147">
                  <c:v>83.9</c:v>
                </c:pt>
                <c:pt idx="1148">
                  <c:v>87.2</c:v>
                </c:pt>
                <c:pt idx="1149">
                  <c:v>90.8</c:v>
                </c:pt>
                <c:pt idx="1150">
                  <c:v>94.6</c:v>
                </c:pt>
                <c:pt idx="1151">
                  <c:v>98.7</c:v>
                </c:pt>
                <c:pt idx="1152">
                  <c:v>103.1</c:v>
                </c:pt>
                <c:pt idx="1153">
                  <c:v>107.9</c:v>
                </c:pt>
                <c:pt idx="1154">
                  <c:v>113</c:v>
                </c:pt>
                <c:pt idx="1155">
                  <c:v>118.5</c:v>
                </c:pt>
                <c:pt idx="1156">
                  <c:v>124.4</c:v>
                </c:pt>
                <c:pt idx="1157">
                  <c:v>130.80000000000001</c:v>
                </c:pt>
                <c:pt idx="1158">
                  <c:v>137.6</c:v>
                </c:pt>
                <c:pt idx="1159">
                  <c:v>144.9</c:v>
                </c:pt>
                <c:pt idx="1160">
                  <c:v>152.6</c:v>
                </c:pt>
                <c:pt idx="1161">
                  <c:v>160.80000000000001</c:v>
                </c:pt>
                <c:pt idx="1162">
                  <c:v>169.5</c:v>
                </c:pt>
                <c:pt idx="1163">
                  <c:v>178.6</c:v>
                </c:pt>
                <c:pt idx="1164">
                  <c:v>188.1</c:v>
                </c:pt>
                <c:pt idx="1165">
                  <c:v>197.8</c:v>
                </c:pt>
                <c:pt idx="1166">
                  <c:v>207.5</c:v>
                </c:pt>
                <c:pt idx="1167">
                  <c:v>217.2</c:v>
                </c:pt>
                <c:pt idx="1168">
                  <c:v>226.6</c:v>
                </c:pt>
                <c:pt idx="1169">
                  <c:v>235.4</c:v>
                </c:pt>
                <c:pt idx="1170">
                  <c:v>243.4</c:v>
                </c:pt>
                <c:pt idx="1171">
                  <c:v>250.3</c:v>
                </c:pt>
                <c:pt idx="1172">
                  <c:v>255.8</c:v>
                </c:pt>
                <c:pt idx="1173">
                  <c:v>260</c:v>
                </c:pt>
                <c:pt idx="1174">
                  <c:v>262.8</c:v>
                </c:pt>
                <c:pt idx="1175">
                  <c:v>264.60000000000002</c:v>
                </c:pt>
                <c:pt idx="1176">
                  <c:v>265.5</c:v>
                </c:pt>
                <c:pt idx="1177">
                  <c:v>265.89999999999998</c:v>
                </c:pt>
                <c:pt idx="1178">
                  <c:v>265.89999999999998</c:v>
                </c:pt>
                <c:pt idx="1179">
                  <c:v>265.5</c:v>
                </c:pt>
                <c:pt idx="1180">
                  <c:v>264.60000000000002</c:v>
                </c:pt>
                <c:pt idx="1181">
                  <c:v>262.89999999999998</c:v>
                </c:pt>
                <c:pt idx="1182">
                  <c:v>260.10000000000002</c:v>
                </c:pt>
                <c:pt idx="1183">
                  <c:v>255.9</c:v>
                </c:pt>
                <c:pt idx="1184">
                  <c:v>250.4</c:v>
                </c:pt>
                <c:pt idx="1185">
                  <c:v>243.7</c:v>
                </c:pt>
                <c:pt idx="1186">
                  <c:v>235.8</c:v>
                </c:pt>
                <c:pt idx="1187">
                  <c:v>227</c:v>
                </c:pt>
                <c:pt idx="1188">
                  <c:v>217.7</c:v>
                </c:pt>
                <c:pt idx="1189">
                  <c:v>208.1</c:v>
                </c:pt>
                <c:pt idx="1190">
                  <c:v>198.4</c:v>
                </c:pt>
              </c:numCache>
            </c:numRef>
          </c:yVal>
          <c:smooth val="1"/>
          <c:extLst>
            <c:ext xmlns:c16="http://schemas.microsoft.com/office/drawing/2014/chart" uri="{C3380CC4-5D6E-409C-BE32-E72D297353CC}">
              <c16:uniqueId val="{00000001-890F-454E-AC32-BA600AE94D3A}"/>
            </c:ext>
          </c:extLst>
        </c:ser>
        <c:ser>
          <c:idx val="2"/>
          <c:order val="2"/>
          <c:tx>
            <c:strRef>
              <c:f>Tatm!$D$5</c:f>
              <c:strCache>
                <c:ptCount val="1"/>
                <c:pt idx="0">
                  <c:v>13</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Tatm!$D$6:$D$1196</c:f>
              <c:numCache>
                <c:formatCode>General</c:formatCode>
                <c:ptCount val="1191"/>
                <c:pt idx="0">
                  <c:v>3.9</c:v>
                </c:pt>
                <c:pt idx="1">
                  <c:v>3.9</c:v>
                </c:pt>
                <c:pt idx="2">
                  <c:v>3.9</c:v>
                </c:pt>
                <c:pt idx="3">
                  <c:v>3.9</c:v>
                </c:pt>
                <c:pt idx="4">
                  <c:v>3.9</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4.0999999999999996</c:v>
                </c:pt>
                <c:pt idx="25">
                  <c:v>4.0999999999999996</c:v>
                </c:pt>
                <c:pt idx="26">
                  <c:v>4.0999999999999996</c:v>
                </c:pt>
                <c:pt idx="27">
                  <c:v>4.0999999999999996</c:v>
                </c:pt>
                <c:pt idx="28">
                  <c:v>4.0999999999999996</c:v>
                </c:pt>
                <c:pt idx="29">
                  <c:v>4.0999999999999996</c:v>
                </c:pt>
                <c:pt idx="30">
                  <c:v>4.0999999999999996</c:v>
                </c:pt>
                <c:pt idx="31">
                  <c:v>4.0999999999999996</c:v>
                </c:pt>
                <c:pt idx="32">
                  <c:v>4.0999999999999996</c:v>
                </c:pt>
                <c:pt idx="33">
                  <c:v>4.0999999999999996</c:v>
                </c:pt>
                <c:pt idx="34">
                  <c:v>4.0999999999999996</c:v>
                </c:pt>
                <c:pt idx="35">
                  <c:v>4.0999999999999996</c:v>
                </c:pt>
                <c:pt idx="36">
                  <c:v>4.0999999999999996</c:v>
                </c:pt>
                <c:pt idx="37">
                  <c:v>4.0999999999999996</c:v>
                </c:pt>
                <c:pt idx="38">
                  <c:v>4.0999999999999996</c:v>
                </c:pt>
                <c:pt idx="39">
                  <c:v>4.0999999999999996</c:v>
                </c:pt>
                <c:pt idx="40">
                  <c:v>4.0999999999999996</c:v>
                </c:pt>
                <c:pt idx="41">
                  <c:v>4.0999999999999996</c:v>
                </c:pt>
                <c:pt idx="42">
                  <c:v>4.0999999999999996</c:v>
                </c:pt>
                <c:pt idx="43">
                  <c:v>4.0999999999999996</c:v>
                </c:pt>
                <c:pt idx="44">
                  <c:v>4.0999999999999996</c:v>
                </c:pt>
                <c:pt idx="45">
                  <c:v>4.2</c:v>
                </c:pt>
                <c:pt idx="46">
                  <c:v>4.2</c:v>
                </c:pt>
                <c:pt idx="47">
                  <c:v>4.2</c:v>
                </c:pt>
                <c:pt idx="48">
                  <c:v>4.2</c:v>
                </c:pt>
                <c:pt idx="49">
                  <c:v>4.2</c:v>
                </c:pt>
                <c:pt idx="50">
                  <c:v>4.2</c:v>
                </c:pt>
                <c:pt idx="51">
                  <c:v>4.2</c:v>
                </c:pt>
                <c:pt idx="52">
                  <c:v>4.2</c:v>
                </c:pt>
                <c:pt idx="53">
                  <c:v>4.2</c:v>
                </c:pt>
                <c:pt idx="54">
                  <c:v>4.2</c:v>
                </c:pt>
                <c:pt idx="55">
                  <c:v>4.2</c:v>
                </c:pt>
                <c:pt idx="56">
                  <c:v>4.2</c:v>
                </c:pt>
                <c:pt idx="57">
                  <c:v>4.2</c:v>
                </c:pt>
                <c:pt idx="58">
                  <c:v>4.2</c:v>
                </c:pt>
                <c:pt idx="59">
                  <c:v>4.3</c:v>
                </c:pt>
                <c:pt idx="60">
                  <c:v>4.3</c:v>
                </c:pt>
                <c:pt idx="61">
                  <c:v>4.3</c:v>
                </c:pt>
                <c:pt idx="62">
                  <c:v>4.3</c:v>
                </c:pt>
                <c:pt idx="63">
                  <c:v>4.3</c:v>
                </c:pt>
                <c:pt idx="64">
                  <c:v>4.3</c:v>
                </c:pt>
                <c:pt idx="65">
                  <c:v>4.3</c:v>
                </c:pt>
                <c:pt idx="66">
                  <c:v>4.3</c:v>
                </c:pt>
                <c:pt idx="67">
                  <c:v>4.3</c:v>
                </c:pt>
                <c:pt idx="68">
                  <c:v>4.3</c:v>
                </c:pt>
                <c:pt idx="69">
                  <c:v>4.3</c:v>
                </c:pt>
                <c:pt idx="70">
                  <c:v>4.3</c:v>
                </c:pt>
                <c:pt idx="71">
                  <c:v>4.4000000000000004</c:v>
                </c:pt>
                <c:pt idx="72">
                  <c:v>4.4000000000000004</c:v>
                </c:pt>
                <c:pt idx="73">
                  <c:v>4.4000000000000004</c:v>
                </c:pt>
                <c:pt idx="74">
                  <c:v>4.4000000000000004</c:v>
                </c:pt>
                <c:pt idx="75">
                  <c:v>4.4000000000000004</c:v>
                </c:pt>
                <c:pt idx="76">
                  <c:v>4.4000000000000004</c:v>
                </c:pt>
                <c:pt idx="77">
                  <c:v>4.4000000000000004</c:v>
                </c:pt>
                <c:pt idx="78">
                  <c:v>4.4000000000000004</c:v>
                </c:pt>
                <c:pt idx="79">
                  <c:v>4.4000000000000004</c:v>
                </c:pt>
                <c:pt idx="80">
                  <c:v>4.4000000000000004</c:v>
                </c:pt>
                <c:pt idx="81">
                  <c:v>4.5</c:v>
                </c:pt>
                <c:pt idx="82">
                  <c:v>4.5</c:v>
                </c:pt>
                <c:pt idx="83">
                  <c:v>4.5</c:v>
                </c:pt>
                <c:pt idx="84">
                  <c:v>4.5</c:v>
                </c:pt>
                <c:pt idx="85">
                  <c:v>4.5</c:v>
                </c:pt>
                <c:pt idx="86">
                  <c:v>4.5</c:v>
                </c:pt>
                <c:pt idx="87">
                  <c:v>4.5</c:v>
                </c:pt>
                <c:pt idx="88">
                  <c:v>4.5</c:v>
                </c:pt>
                <c:pt idx="89">
                  <c:v>4.5999999999999996</c:v>
                </c:pt>
                <c:pt idx="90">
                  <c:v>4.5999999999999996</c:v>
                </c:pt>
                <c:pt idx="91">
                  <c:v>4.5999999999999996</c:v>
                </c:pt>
                <c:pt idx="92">
                  <c:v>4.5999999999999996</c:v>
                </c:pt>
                <c:pt idx="93">
                  <c:v>4.5999999999999996</c:v>
                </c:pt>
                <c:pt idx="94">
                  <c:v>4.5999999999999996</c:v>
                </c:pt>
                <c:pt idx="95">
                  <c:v>4.5999999999999996</c:v>
                </c:pt>
                <c:pt idx="96">
                  <c:v>4.7</c:v>
                </c:pt>
                <c:pt idx="97">
                  <c:v>4.7</c:v>
                </c:pt>
                <c:pt idx="98">
                  <c:v>4.7</c:v>
                </c:pt>
                <c:pt idx="99">
                  <c:v>4.7</c:v>
                </c:pt>
                <c:pt idx="100">
                  <c:v>4.7</c:v>
                </c:pt>
                <c:pt idx="101">
                  <c:v>4.7</c:v>
                </c:pt>
                <c:pt idx="102">
                  <c:v>4.8</c:v>
                </c:pt>
                <c:pt idx="103">
                  <c:v>4.8</c:v>
                </c:pt>
                <c:pt idx="104">
                  <c:v>4.8</c:v>
                </c:pt>
                <c:pt idx="105">
                  <c:v>4.8</c:v>
                </c:pt>
                <c:pt idx="106">
                  <c:v>4.8</c:v>
                </c:pt>
                <c:pt idx="107">
                  <c:v>4.8</c:v>
                </c:pt>
                <c:pt idx="108">
                  <c:v>4.9000000000000004</c:v>
                </c:pt>
                <c:pt idx="109">
                  <c:v>4.9000000000000004</c:v>
                </c:pt>
                <c:pt idx="110">
                  <c:v>4.9000000000000004</c:v>
                </c:pt>
                <c:pt idx="111">
                  <c:v>4.9000000000000004</c:v>
                </c:pt>
                <c:pt idx="112">
                  <c:v>4.9000000000000004</c:v>
                </c:pt>
                <c:pt idx="113">
                  <c:v>5</c:v>
                </c:pt>
                <c:pt idx="114">
                  <c:v>5</c:v>
                </c:pt>
                <c:pt idx="115">
                  <c:v>5</c:v>
                </c:pt>
                <c:pt idx="116">
                  <c:v>5</c:v>
                </c:pt>
                <c:pt idx="117">
                  <c:v>5</c:v>
                </c:pt>
                <c:pt idx="118">
                  <c:v>5.0999999999999996</c:v>
                </c:pt>
                <c:pt idx="119">
                  <c:v>5.0999999999999996</c:v>
                </c:pt>
                <c:pt idx="120">
                  <c:v>5.0999999999999996</c:v>
                </c:pt>
                <c:pt idx="121">
                  <c:v>5.0999999999999996</c:v>
                </c:pt>
                <c:pt idx="122">
                  <c:v>5.2</c:v>
                </c:pt>
                <c:pt idx="123">
                  <c:v>5.2</c:v>
                </c:pt>
                <c:pt idx="124">
                  <c:v>5.2</c:v>
                </c:pt>
                <c:pt idx="125">
                  <c:v>5.3</c:v>
                </c:pt>
                <c:pt idx="126">
                  <c:v>5.3</c:v>
                </c:pt>
                <c:pt idx="127">
                  <c:v>5.3</c:v>
                </c:pt>
                <c:pt idx="128">
                  <c:v>5.3</c:v>
                </c:pt>
                <c:pt idx="129">
                  <c:v>5.4</c:v>
                </c:pt>
                <c:pt idx="130">
                  <c:v>5.4</c:v>
                </c:pt>
                <c:pt idx="131">
                  <c:v>5.4</c:v>
                </c:pt>
                <c:pt idx="132">
                  <c:v>5.5</c:v>
                </c:pt>
                <c:pt idx="133">
                  <c:v>5.5</c:v>
                </c:pt>
                <c:pt idx="134">
                  <c:v>5.5</c:v>
                </c:pt>
                <c:pt idx="135">
                  <c:v>5.6</c:v>
                </c:pt>
                <c:pt idx="136">
                  <c:v>5.6</c:v>
                </c:pt>
                <c:pt idx="137">
                  <c:v>5.7</c:v>
                </c:pt>
                <c:pt idx="138">
                  <c:v>5.7</c:v>
                </c:pt>
                <c:pt idx="139">
                  <c:v>5.7</c:v>
                </c:pt>
                <c:pt idx="140">
                  <c:v>5.8</c:v>
                </c:pt>
                <c:pt idx="141">
                  <c:v>5.8</c:v>
                </c:pt>
                <c:pt idx="142">
                  <c:v>5.9</c:v>
                </c:pt>
                <c:pt idx="143">
                  <c:v>5.9</c:v>
                </c:pt>
                <c:pt idx="144">
                  <c:v>6</c:v>
                </c:pt>
                <c:pt idx="145">
                  <c:v>6</c:v>
                </c:pt>
                <c:pt idx="146">
                  <c:v>6.1</c:v>
                </c:pt>
                <c:pt idx="147">
                  <c:v>6.1</c:v>
                </c:pt>
                <c:pt idx="148">
                  <c:v>6.2</c:v>
                </c:pt>
                <c:pt idx="149">
                  <c:v>6.2</c:v>
                </c:pt>
                <c:pt idx="150">
                  <c:v>6.3</c:v>
                </c:pt>
                <c:pt idx="151">
                  <c:v>6.4</c:v>
                </c:pt>
                <c:pt idx="152">
                  <c:v>6.4</c:v>
                </c:pt>
                <c:pt idx="153">
                  <c:v>6.5</c:v>
                </c:pt>
                <c:pt idx="154">
                  <c:v>6.6</c:v>
                </c:pt>
                <c:pt idx="155">
                  <c:v>6.7</c:v>
                </c:pt>
                <c:pt idx="156">
                  <c:v>6.7</c:v>
                </c:pt>
                <c:pt idx="157">
                  <c:v>6.8</c:v>
                </c:pt>
                <c:pt idx="158">
                  <c:v>6.9</c:v>
                </c:pt>
                <c:pt idx="159">
                  <c:v>7</c:v>
                </c:pt>
                <c:pt idx="160">
                  <c:v>7.1</c:v>
                </c:pt>
                <c:pt idx="161">
                  <c:v>7.2</c:v>
                </c:pt>
                <c:pt idx="162">
                  <c:v>7.3</c:v>
                </c:pt>
                <c:pt idx="163">
                  <c:v>7.4</c:v>
                </c:pt>
                <c:pt idx="164">
                  <c:v>7.5</c:v>
                </c:pt>
                <c:pt idx="165">
                  <c:v>7.6</c:v>
                </c:pt>
                <c:pt idx="166">
                  <c:v>7.7</c:v>
                </c:pt>
                <c:pt idx="167">
                  <c:v>7.9</c:v>
                </c:pt>
                <c:pt idx="168">
                  <c:v>8</c:v>
                </c:pt>
                <c:pt idx="169">
                  <c:v>8.1999999999999993</c:v>
                </c:pt>
                <c:pt idx="170">
                  <c:v>8.3000000000000007</c:v>
                </c:pt>
                <c:pt idx="171">
                  <c:v>8.5</c:v>
                </c:pt>
                <c:pt idx="172">
                  <c:v>8.6</c:v>
                </c:pt>
                <c:pt idx="173">
                  <c:v>8.8000000000000007</c:v>
                </c:pt>
                <c:pt idx="174">
                  <c:v>9</c:v>
                </c:pt>
                <c:pt idx="175">
                  <c:v>9.1999999999999993</c:v>
                </c:pt>
                <c:pt idx="176">
                  <c:v>9.4</c:v>
                </c:pt>
                <c:pt idx="177">
                  <c:v>9.6999999999999993</c:v>
                </c:pt>
                <c:pt idx="178">
                  <c:v>9.9</c:v>
                </c:pt>
                <c:pt idx="179">
                  <c:v>10.199999999999999</c:v>
                </c:pt>
                <c:pt idx="180">
                  <c:v>10.4</c:v>
                </c:pt>
                <c:pt idx="181">
                  <c:v>10.7</c:v>
                </c:pt>
                <c:pt idx="182">
                  <c:v>11.1</c:v>
                </c:pt>
                <c:pt idx="183">
                  <c:v>11.4</c:v>
                </c:pt>
                <c:pt idx="184">
                  <c:v>11.7</c:v>
                </c:pt>
                <c:pt idx="185">
                  <c:v>12.1</c:v>
                </c:pt>
                <c:pt idx="186">
                  <c:v>12.5</c:v>
                </c:pt>
                <c:pt idx="187">
                  <c:v>12.9</c:v>
                </c:pt>
                <c:pt idx="188">
                  <c:v>13.4</c:v>
                </c:pt>
                <c:pt idx="189">
                  <c:v>13.9</c:v>
                </c:pt>
                <c:pt idx="190">
                  <c:v>14.4</c:v>
                </c:pt>
                <c:pt idx="191">
                  <c:v>15</c:v>
                </c:pt>
                <c:pt idx="192">
                  <c:v>15.6</c:v>
                </c:pt>
                <c:pt idx="193">
                  <c:v>16.2</c:v>
                </c:pt>
                <c:pt idx="194">
                  <c:v>16.899999999999999</c:v>
                </c:pt>
                <c:pt idx="195">
                  <c:v>17.600000000000001</c:v>
                </c:pt>
                <c:pt idx="196">
                  <c:v>18.399999999999999</c:v>
                </c:pt>
                <c:pt idx="197">
                  <c:v>19.2</c:v>
                </c:pt>
                <c:pt idx="198">
                  <c:v>20</c:v>
                </c:pt>
                <c:pt idx="199">
                  <c:v>20.9</c:v>
                </c:pt>
                <c:pt idx="200">
                  <c:v>21.8</c:v>
                </c:pt>
                <c:pt idx="201">
                  <c:v>22.8</c:v>
                </c:pt>
                <c:pt idx="202">
                  <c:v>23.8</c:v>
                </c:pt>
                <c:pt idx="203">
                  <c:v>24.8</c:v>
                </c:pt>
                <c:pt idx="204">
                  <c:v>25.9</c:v>
                </c:pt>
                <c:pt idx="205">
                  <c:v>26.9</c:v>
                </c:pt>
                <c:pt idx="206">
                  <c:v>28</c:v>
                </c:pt>
                <c:pt idx="207">
                  <c:v>29</c:v>
                </c:pt>
                <c:pt idx="208">
                  <c:v>30</c:v>
                </c:pt>
                <c:pt idx="209">
                  <c:v>30.9</c:v>
                </c:pt>
                <c:pt idx="210">
                  <c:v>31.6</c:v>
                </c:pt>
                <c:pt idx="211">
                  <c:v>32.299999999999997</c:v>
                </c:pt>
                <c:pt idx="212">
                  <c:v>32.700000000000003</c:v>
                </c:pt>
                <c:pt idx="213">
                  <c:v>32.9</c:v>
                </c:pt>
                <c:pt idx="214">
                  <c:v>32.9</c:v>
                </c:pt>
                <c:pt idx="215">
                  <c:v>32.700000000000003</c:v>
                </c:pt>
                <c:pt idx="216">
                  <c:v>32.299999999999997</c:v>
                </c:pt>
                <c:pt idx="217">
                  <c:v>31.8</c:v>
                </c:pt>
                <c:pt idx="218">
                  <c:v>31.2</c:v>
                </c:pt>
                <c:pt idx="219">
                  <c:v>30.6</c:v>
                </c:pt>
                <c:pt idx="220">
                  <c:v>29.8</c:v>
                </c:pt>
                <c:pt idx="221">
                  <c:v>29.1</c:v>
                </c:pt>
                <c:pt idx="222">
                  <c:v>28.3</c:v>
                </c:pt>
                <c:pt idx="223">
                  <c:v>27.5</c:v>
                </c:pt>
                <c:pt idx="224">
                  <c:v>26.7</c:v>
                </c:pt>
                <c:pt idx="225">
                  <c:v>25.9</c:v>
                </c:pt>
                <c:pt idx="226">
                  <c:v>25.2</c:v>
                </c:pt>
                <c:pt idx="227">
                  <c:v>24.4</c:v>
                </c:pt>
                <c:pt idx="228">
                  <c:v>23.7</c:v>
                </c:pt>
                <c:pt idx="229">
                  <c:v>23</c:v>
                </c:pt>
                <c:pt idx="230">
                  <c:v>22.3</c:v>
                </c:pt>
                <c:pt idx="231">
                  <c:v>21.7</c:v>
                </c:pt>
                <c:pt idx="232">
                  <c:v>21.1</c:v>
                </c:pt>
                <c:pt idx="233">
                  <c:v>20.5</c:v>
                </c:pt>
                <c:pt idx="234">
                  <c:v>19.899999999999999</c:v>
                </c:pt>
                <c:pt idx="235">
                  <c:v>19.399999999999999</c:v>
                </c:pt>
                <c:pt idx="236">
                  <c:v>18.899999999999999</c:v>
                </c:pt>
                <c:pt idx="237">
                  <c:v>18.5</c:v>
                </c:pt>
                <c:pt idx="238">
                  <c:v>18</c:v>
                </c:pt>
                <c:pt idx="239">
                  <c:v>17.600000000000001</c:v>
                </c:pt>
                <c:pt idx="240">
                  <c:v>17.2</c:v>
                </c:pt>
                <c:pt idx="241">
                  <c:v>16.899999999999999</c:v>
                </c:pt>
                <c:pt idx="242">
                  <c:v>16.5</c:v>
                </c:pt>
                <c:pt idx="243">
                  <c:v>16.2</c:v>
                </c:pt>
                <c:pt idx="244">
                  <c:v>15.9</c:v>
                </c:pt>
                <c:pt idx="245">
                  <c:v>15.6</c:v>
                </c:pt>
                <c:pt idx="246">
                  <c:v>15.3</c:v>
                </c:pt>
                <c:pt idx="247">
                  <c:v>15.1</c:v>
                </c:pt>
                <c:pt idx="248">
                  <c:v>14.8</c:v>
                </c:pt>
                <c:pt idx="249">
                  <c:v>14.6</c:v>
                </c:pt>
                <c:pt idx="250">
                  <c:v>14.4</c:v>
                </c:pt>
                <c:pt idx="251">
                  <c:v>14.2</c:v>
                </c:pt>
                <c:pt idx="252">
                  <c:v>14</c:v>
                </c:pt>
                <c:pt idx="253">
                  <c:v>13.8</c:v>
                </c:pt>
                <c:pt idx="254">
                  <c:v>13.6</c:v>
                </c:pt>
                <c:pt idx="255">
                  <c:v>13.5</c:v>
                </c:pt>
                <c:pt idx="256">
                  <c:v>13.3</c:v>
                </c:pt>
                <c:pt idx="257">
                  <c:v>13.2</c:v>
                </c:pt>
                <c:pt idx="258">
                  <c:v>13.1</c:v>
                </c:pt>
                <c:pt idx="259">
                  <c:v>12.9</c:v>
                </c:pt>
                <c:pt idx="260">
                  <c:v>12.8</c:v>
                </c:pt>
                <c:pt idx="261">
                  <c:v>12.7</c:v>
                </c:pt>
                <c:pt idx="262">
                  <c:v>12.6</c:v>
                </c:pt>
                <c:pt idx="263">
                  <c:v>12.5</c:v>
                </c:pt>
                <c:pt idx="264">
                  <c:v>12.4</c:v>
                </c:pt>
                <c:pt idx="265">
                  <c:v>12.3</c:v>
                </c:pt>
                <c:pt idx="266">
                  <c:v>12.2</c:v>
                </c:pt>
                <c:pt idx="267">
                  <c:v>12.2</c:v>
                </c:pt>
                <c:pt idx="268">
                  <c:v>12.1</c:v>
                </c:pt>
                <c:pt idx="269">
                  <c:v>12</c:v>
                </c:pt>
                <c:pt idx="270">
                  <c:v>12</c:v>
                </c:pt>
                <c:pt idx="271">
                  <c:v>11.9</c:v>
                </c:pt>
                <c:pt idx="272">
                  <c:v>11.9</c:v>
                </c:pt>
                <c:pt idx="273">
                  <c:v>11.8</c:v>
                </c:pt>
                <c:pt idx="274">
                  <c:v>11.8</c:v>
                </c:pt>
                <c:pt idx="275">
                  <c:v>11.7</c:v>
                </c:pt>
                <c:pt idx="276">
                  <c:v>11.7</c:v>
                </c:pt>
                <c:pt idx="277">
                  <c:v>11.6</c:v>
                </c:pt>
                <c:pt idx="278">
                  <c:v>11.6</c:v>
                </c:pt>
                <c:pt idx="279">
                  <c:v>11.6</c:v>
                </c:pt>
                <c:pt idx="280">
                  <c:v>11.5</c:v>
                </c:pt>
                <c:pt idx="281">
                  <c:v>11.5</c:v>
                </c:pt>
                <c:pt idx="282">
                  <c:v>11.5</c:v>
                </c:pt>
                <c:pt idx="283">
                  <c:v>11.5</c:v>
                </c:pt>
                <c:pt idx="284">
                  <c:v>11.4</c:v>
                </c:pt>
                <c:pt idx="285">
                  <c:v>11.4</c:v>
                </c:pt>
                <c:pt idx="286">
                  <c:v>11.4</c:v>
                </c:pt>
                <c:pt idx="287">
                  <c:v>11.4</c:v>
                </c:pt>
                <c:pt idx="288">
                  <c:v>11.4</c:v>
                </c:pt>
                <c:pt idx="289">
                  <c:v>11.4</c:v>
                </c:pt>
                <c:pt idx="290">
                  <c:v>11.4</c:v>
                </c:pt>
                <c:pt idx="291">
                  <c:v>11.4</c:v>
                </c:pt>
                <c:pt idx="292">
                  <c:v>11.4</c:v>
                </c:pt>
                <c:pt idx="293">
                  <c:v>11.4</c:v>
                </c:pt>
                <c:pt idx="294">
                  <c:v>11.4</c:v>
                </c:pt>
                <c:pt idx="295">
                  <c:v>11.4</c:v>
                </c:pt>
                <c:pt idx="296">
                  <c:v>11.4</c:v>
                </c:pt>
                <c:pt idx="297">
                  <c:v>11.4</c:v>
                </c:pt>
                <c:pt idx="298">
                  <c:v>11.4</c:v>
                </c:pt>
                <c:pt idx="299">
                  <c:v>11.4</c:v>
                </c:pt>
                <c:pt idx="300">
                  <c:v>11.4</c:v>
                </c:pt>
                <c:pt idx="301">
                  <c:v>11.4</c:v>
                </c:pt>
                <c:pt idx="302">
                  <c:v>11.4</c:v>
                </c:pt>
                <c:pt idx="303">
                  <c:v>11.4</c:v>
                </c:pt>
                <c:pt idx="304">
                  <c:v>11.4</c:v>
                </c:pt>
                <c:pt idx="305">
                  <c:v>11.5</c:v>
                </c:pt>
                <c:pt idx="306">
                  <c:v>11.5</c:v>
                </c:pt>
                <c:pt idx="307">
                  <c:v>11.5</c:v>
                </c:pt>
                <c:pt idx="308">
                  <c:v>11.5</c:v>
                </c:pt>
                <c:pt idx="309">
                  <c:v>11.5</c:v>
                </c:pt>
                <c:pt idx="310">
                  <c:v>11.6</c:v>
                </c:pt>
                <c:pt idx="311">
                  <c:v>11.6</c:v>
                </c:pt>
                <c:pt idx="312">
                  <c:v>11.6</c:v>
                </c:pt>
                <c:pt idx="313">
                  <c:v>11.6</c:v>
                </c:pt>
                <c:pt idx="314">
                  <c:v>11.7</c:v>
                </c:pt>
                <c:pt idx="315">
                  <c:v>11.7</c:v>
                </c:pt>
                <c:pt idx="316">
                  <c:v>11.7</c:v>
                </c:pt>
                <c:pt idx="317">
                  <c:v>11.7</c:v>
                </c:pt>
                <c:pt idx="318">
                  <c:v>11.8</c:v>
                </c:pt>
                <c:pt idx="319">
                  <c:v>11.8</c:v>
                </c:pt>
                <c:pt idx="320">
                  <c:v>11.8</c:v>
                </c:pt>
                <c:pt idx="321">
                  <c:v>11.9</c:v>
                </c:pt>
                <c:pt idx="322">
                  <c:v>11.9</c:v>
                </c:pt>
                <c:pt idx="323">
                  <c:v>11.9</c:v>
                </c:pt>
                <c:pt idx="324">
                  <c:v>12</c:v>
                </c:pt>
                <c:pt idx="325">
                  <c:v>12</c:v>
                </c:pt>
                <c:pt idx="326">
                  <c:v>12</c:v>
                </c:pt>
                <c:pt idx="327">
                  <c:v>12.1</c:v>
                </c:pt>
                <c:pt idx="328">
                  <c:v>12.1</c:v>
                </c:pt>
                <c:pt idx="329">
                  <c:v>12.1</c:v>
                </c:pt>
                <c:pt idx="330">
                  <c:v>12.2</c:v>
                </c:pt>
                <c:pt idx="331">
                  <c:v>12.2</c:v>
                </c:pt>
                <c:pt idx="332">
                  <c:v>12.3</c:v>
                </c:pt>
                <c:pt idx="333">
                  <c:v>12.3</c:v>
                </c:pt>
                <c:pt idx="334">
                  <c:v>12.4</c:v>
                </c:pt>
                <c:pt idx="335">
                  <c:v>12.4</c:v>
                </c:pt>
                <c:pt idx="336">
                  <c:v>12.4</c:v>
                </c:pt>
                <c:pt idx="337">
                  <c:v>12.5</c:v>
                </c:pt>
                <c:pt idx="338">
                  <c:v>12.5</c:v>
                </c:pt>
                <c:pt idx="339">
                  <c:v>12.6</c:v>
                </c:pt>
                <c:pt idx="340">
                  <c:v>12.6</c:v>
                </c:pt>
                <c:pt idx="341">
                  <c:v>12.7</c:v>
                </c:pt>
                <c:pt idx="342">
                  <c:v>12.7</c:v>
                </c:pt>
                <c:pt idx="343">
                  <c:v>12.8</c:v>
                </c:pt>
                <c:pt idx="344">
                  <c:v>12.8</c:v>
                </c:pt>
                <c:pt idx="345">
                  <c:v>12.9</c:v>
                </c:pt>
                <c:pt idx="346">
                  <c:v>13</c:v>
                </c:pt>
                <c:pt idx="347">
                  <c:v>13</c:v>
                </c:pt>
                <c:pt idx="348">
                  <c:v>13.1</c:v>
                </c:pt>
                <c:pt idx="349">
                  <c:v>13.1</c:v>
                </c:pt>
                <c:pt idx="350">
                  <c:v>13.2</c:v>
                </c:pt>
                <c:pt idx="351">
                  <c:v>13.2</c:v>
                </c:pt>
                <c:pt idx="352">
                  <c:v>13.3</c:v>
                </c:pt>
                <c:pt idx="353">
                  <c:v>13.4</c:v>
                </c:pt>
                <c:pt idx="354">
                  <c:v>13.4</c:v>
                </c:pt>
                <c:pt idx="355">
                  <c:v>13.5</c:v>
                </c:pt>
                <c:pt idx="356">
                  <c:v>13.5</c:v>
                </c:pt>
                <c:pt idx="357">
                  <c:v>13.6</c:v>
                </c:pt>
                <c:pt idx="358">
                  <c:v>13.7</c:v>
                </c:pt>
                <c:pt idx="359">
                  <c:v>13.7</c:v>
                </c:pt>
                <c:pt idx="360">
                  <c:v>13.8</c:v>
                </c:pt>
                <c:pt idx="361">
                  <c:v>13.9</c:v>
                </c:pt>
                <c:pt idx="362">
                  <c:v>14</c:v>
                </c:pt>
                <c:pt idx="363">
                  <c:v>14</c:v>
                </c:pt>
                <c:pt idx="364">
                  <c:v>14.1</c:v>
                </c:pt>
                <c:pt idx="365">
                  <c:v>14.2</c:v>
                </c:pt>
                <c:pt idx="366">
                  <c:v>14.2</c:v>
                </c:pt>
                <c:pt idx="367">
                  <c:v>14.3</c:v>
                </c:pt>
                <c:pt idx="368">
                  <c:v>14.4</c:v>
                </c:pt>
                <c:pt idx="369">
                  <c:v>14.5</c:v>
                </c:pt>
                <c:pt idx="370">
                  <c:v>14.6</c:v>
                </c:pt>
                <c:pt idx="371">
                  <c:v>14.6</c:v>
                </c:pt>
                <c:pt idx="372">
                  <c:v>14.7</c:v>
                </c:pt>
                <c:pt idx="373">
                  <c:v>14.8</c:v>
                </c:pt>
                <c:pt idx="374">
                  <c:v>14.9</c:v>
                </c:pt>
                <c:pt idx="375">
                  <c:v>15</c:v>
                </c:pt>
                <c:pt idx="376">
                  <c:v>15.1</c:v>
                </c:pt>
                <c:pt idx="377">
                  <c:v>15.1</c:v>
                </c:pt>
                <c:pt idx="378">
                  <c:v>15.2</c:v>
                </c:pt>
                <c:pt idx="379">
                  <c:v>15.3</c:v>
                </c:pt>
                <c:pt idx="380">
                  <c:v>15.4</c:v>
                </c:pt>
                <c:pt idx="381">
                  <c:v>15.5</c:v>
                </c:pt>
                <c:pt idx="382">
                  <c:v>15.6</c:v>
                </c:pt>
                <c:pt idx="383">
                  <c:v>15.7</c:v>
                </c:pt>
                <c:pt idx="384">
                  <c:v>15.8</c:v>
                </c:pt>
                <c:pt idx="385">
                  <c:v>15.9</c:v>
                </c:pt>
                <c:pt idx="386">
                  <c:v>16</c:v>
                </c:pt>
                <c:pt idx="387">
                  <c:v>16.100000000000001</c:v>
                </c:pt>
                <c:pt idx="388">
                  <c:v>16.2</c:v>
                </c:pt>
                <c:pt idx="389">
                  <c:v>16.3</c:v>
                </c:pt>
                <c:pt idx="390">
                  <c:v>16.399999999999999</c:v>
                </c:pt>
                <c:pt idx="391">
                  <c:v>16.5</c:v>
                </c:pt>
                <c:pt idx="392">
                  <c:v>16.600000000000001</c:v>
                </c:pt>
                <c:pt idx="393">
                  <c:v>16.7</c:v>
                </c:pt>
                <c:pt idx="394">
                  <c:v>16.8</c:v>
                </c:pt>
                <c:pt idx="395">
                  <c:v>17</c:v>
                </c:pt>
                <c:pt idx="396">
                  <c:v>17.100000000000001</c:v>
                </c:pt>
                <c:pt idx="397">
                  <c:v>17.2</c:v>
                </c:pt>
                <c:pt idx="398">
                  <c:v>17.3</c:v>
                </c:pt>
                <c:pt idx="399">
                  <c:v>17.399999999999999</c:v>
                </c:pt>
                <c:pt idx="400">
                  <c:v>17.600000000000001</c:v>
                </c:pt>
                <c:pt idx="401">
                  <c:v>17.7</c:v>
                </c:pt>
                <c:pt idx="402">
                  <c:v>17.8</c:v>
                </c:pt>
                <c:pt idx="403">
                  <c:v>17.899999999999999</c:v>
                </c:pt>
                <c:pt idx="404">
                  <c:v>18.100000000000001</c:v>
                </c:pt>
                <c:pt idx="405">
                  <c:v>18.2</c:v>
                </c:pt>
                <c:pt idx="406">
                  <c:v>18.3</c:v>
                </c:pt>
                <c:pt idx="407">
                  <c:v>18.5</c:v>
                </c:pt>
                <c:pt idx="408">
                  <c:v>18.600000000000001</c:v>
                </c:pt>
                <c:pt idx="409">
                  <c:v>18.8</c:v>
                </c:pt>
                <c:pt idx="410">
                  <c:v>18.899999999999999</c:v>
                </c:pt>
                <c:pt idx="411">
                  <c:v>19.100000000000001</c:v>
                </c:pt>
                <c:pt idx="412">
                  <c:v>19.2</c:v>
                </c:pt>
                <c:pt idx="413">
                  <c:v>19.399999999999999</c:v>
                </c:pt>
                <c:pt idx="414">
                  <c:v>19.5</c:v>
                </c:pt>
                <c:pt idx="415">
                  <c:v>19.7</c:v>
                </c:pt>
                <c:pt idx="416">
                  <c:v>19.899999999999999</c:v>
                </c:pt>
                <c:pt idx="417">
                  <c:v>20</c:v>
                </c:pt>
                <c:pt idx="418">
                  <c:v>20.2</c:v>
                </c:pt>
                <c:pt idx="419">
                  <c:v>20.399999999999999</c:v>
                </c:pt>
                <c:pt idx="420">
                  <c:v>20.5</c:v>
                </c:pt>
                <c:pt idx="421">
                  <c:v>20.7</c:v>
                </c:pt>
                <c:pt idx="422">
                  <c:v>20.9</c:v>
                </c:pt>
                <c:pt idx="423">
                  <c:v>21.1</c:v>
                </c:pt>
                <c:pt idx="424">
                  <c:v>21.3</c:v>
                </c:pt>
                <c:pt idx="425">
                  <c:v>21.4</c:v>
                </c:pt>
                <c:pt idx="426">
                  <c:v>21.6</c:v>
                </c:pt>
                <c:pt idx="427">
                  <c:v>21.8</c:v>
                </c:pt>
                <c:pt idx="428">
                  <c:v>22</c:v>
                </c:pt>
                <c:pt idx="429">
                  <c:v>22.2</c:v>
                </c:pt>
                <c:pt idx="430">
                  <c:v>22.5</c:v>
                </c:pt>
                <c:pt idx="431">
                  <c:v>22.7</c:v>
                </c:pt>
                <c:pt idx="432">
                  <c:v>22.9</c:v>
                </c:pt>
                <c:pt idx="433">
                  <c:v>23.1</c:v>
                </c:pt>
                <c:pt idx="434">
                  <c:v>23.3</c:v>
                </c:pt>
                <c:pt idx="435">
                  <c:v>23.6</c:v>
                </c:pt>
                <c:pt idx="436">
                  <c:v>23.8</c:v>
                </c:pt>
                <c:pt idx="437">
                  <c:v>24</c:v>
                </c:pt>
                <c:pt idx="438">
                  <c:v>24.3</c:v>
                </c:pt>
                <c:pt idx="439">
                  <c:v>24.5</c:v>
                </c:pt>
                <c:pt idx="440">
                  <c:v>24.8</c:v>
                </c:pt>
                <c:pt idx="441">
                  <c:v>25.1</c:v>
                </c:pt>
                <c:pt idx="442">
                  <c:v>25.3</c:v>
                </c:pt>
                <c:pt idx="443">
                  <c:v>25.6</c:v>
                </c:pt>
                <c:pt idx="444">
                  <c:v>25.9</c:v>
                </c:pt>
                <c:pt idx="445">
                  <c:v>26.2</c:v>
                </c:pt>
                <c:pt idx="446">
                  <c:v>26.5</c:v>
                </c:pt>
                <c:pt idx="447">
                  <c:v>26.8</c:v>
                </c:pt>
                <c:pt idx="448">
                  <c:v>27.1</c:v>
                </c:pt>
                <c:pt idx="449">
                  <c:v>27.4</c:v>
                </c:pt>
                <c:pt idx="450">
                  <c:v>27.7</c:v>
                </c:pt>
                <c:pt idx="451">
                  <c:v>28</c:v>
                </c:pt>
                <c:pt idx="452">
                  <c:v>28.4</c:v>
                </c:pt>
                <c:pt idx="453">
                  <c:v>28.7</c:v>
                </c:pt>
                <c:pt idx="454">
                  <c:v>29.1</c:v>
                </c:pt>
                <c:pt idx="455">
                  <c:v>29.4</c:v>
                </c:pt>
                <c:pt idx="456">
                  <c:v>29.8</c:v>
                </c:pt>
                <c:pt idx="457">
                  <c:v>30.2</c:v>
                </c:pt>
                <c:pt idx="458">
                  <c:v>30.6</c:v>
                </c:pt>
                <c:pt idx="459">
                  <c:v>31</c:v>
                </c:pt>
                <c:pt idx="460">
                  <c:v>31.4</c:v>
                </c:pt>
                <c:pt idx="461">
                  <c:v>31.8</c:v>
                </c:pt>
                <c:pt idx="462">
                  <c:v>32.200000000000003</c:v>
                </c:pt>
                <c:pt idx="463">
                  <c:v>32.700000000000003</c:v>
                </c:pt>
                <c:pt idx="464">
                  <c:v>33.1</c:v>
                </c:pt>
                <c:pt idx="465">
                  <c:v>33.6</c:v>
                </c:pt>
                <c:pt idx="466">
                  <c:v>34.1</c:v>
                </c:pt>
                <c:pt idx="467">
                  <c:v>34.6</c:v>
                </c:pt>
                <c:pt idx="468">
                  <c:v>35.1</c:v>
                </c:pt>
                <c:pt idx="469">
                  <c:v>35.6</c:v>
                </c:pt>
                <c:pt idx="470">
                  <c:v>36.200000000000003</c:v>
                </c:pt>
                <c:pt idx="471">
                  <c:v>36.700000000000003</c:v>
                </c:pt>
                <c:pt idx="472">
                  <c:v>37.299999999999997</c:v>
                </c:pt>
                <c:pt idx="473">
                  <c:v>37.9</c:v>
                </c:pt>
                <c:pt idx="474">
                  <c:v>38.5</c:v>
                </c:pt>
                <c:pt idx="475">
                  <c:v>39.1</c:v>
                </c:pt>
                <c:pt idx="476">
                  <c:v>39.799999999999997</c:v>
                </c:pt>
                <c:pt idx="477">
                  <c:v>40.5</c:v>
                </c:pt>
                <c:pt idx="478">
                  <c:v>41.1</c:v>
                </c:pt>
                <c:pt idx="479">
                  <c:v>41.9</c:v>
                </c:pt>
                <c:pt idx="480">
                  <c:v>42.6</c:v>
                </c:pt>
                <c:pt idx="481">
                  <c:v>43.4</c:v>
                </c:pt>
                <c:pt idx="482">
                  <c:v>44.2</c:v>
                </c:pt>
                <c:pt idx="483">
                  <c:v>45</c:v>
                </c:pt>
                <c:pt idx="484">
                  <c:v>45.9</c:v>
                </c:pt>
                <c:pt idx="485">
                  <c:v>46.8</c:v>
                </c:pt>
                <c:pt idx="486">
                  <c:v>47.7</c:v>
                </c:pt>
                <c:pt idx="487">
                  <c:v>48.7</c:v>
                </c:pt>
                <c:pt idx="488">
                  <c:v>49.7</c:v>
                </c:pt>
                <c:pt idx="489">
                  <c:v>50.8</c:v>
                </c:pt>
                <c:pt idx="490">
                  <c:v>51.9</c:v>
                </c:pt>
                <c:pt idx="491">
                  <c:v>53.1</c:v>
                </c:pt>
                <c:pt idx="492">
                  <c:v>54.3</c:v>
                </c:pt>
                <c:pt idx="493">
                  <c:v>55.6</c:v>
                </c:pt>
                <c:pt idx="494">
                  <c:v>57</c:v>
                </c:pt>
                <c:pt idx="495">
                  <c:v>58.5</c:v>
                </c:pt>
                <c:pt idx="496">
                  <c:v>60</c:v>
                </c:pt>
                <c:pt idx="497">
                  <c:v>61.6</c:v>
                </c:pt>
                <c:pt idx="498">
                  <c:v>63.3</c:v>
                </c:pt>
                <c:pt idx="499">
                  <c:v>65.2</c:v>
                </c:pt>
                <c:pt idx="500">
                  <c:v>67.2</c:v>
                </c:pt>
                <c:pt idx="501">
                  <c:v>69.099999999999994</c:v>
                </c:pt>
                <c:pt idx="502">
                  <c:v>71.3</c:v>
                </c:pt>
                <c:pt idx="503">
                  <c:v>73.7</c:v>
                </c:pt>
                <c:pt idx="504">
                  <c:v>76.3</c:v>
                </c:pt>
                <c:pt idx="505">
                  <c:v>79.400000000000006</c:v>
                </c:pt>
                <c:pt idx="506">
                  <c:v>82</c:v>
                </c:pt>
                <c:pt idx="507">
                  <c:v>85</c:v>
                </c:pt>
                <c:pt idx="508">
                  <c:v>88.4</c:v>
                </c:pt>
                <c:pt idx="509">
                  <c:v>92.2</c:v>
                </c:pt>
                <c:pt idx="510">
                  <c:v>96.8</c:v>
                </c:pt>
                <c:pt idx="511">
                  <c:v>100.5</c:v>
                </c:pt>
                <c:pt idx="512">
                  <c:v>104.6</c:v>
                </c:pt>
                <c:pt idx="513">
                  <c:v>109.4</c:v>
                </c:pt>
                <c:pt idx="514">
                  <c:v>114.9</c:v>
                </c:pt>
                <c:pt idx="515">
                  <c:v>121.7</c:v>
                </c:pt>
                <c:pt idx="516">
                  <c:v>127.2</c:v>
                </c:pt>
                <c:pt idx="517">
                  <c:v>132.30000000000001</c:v>
                </c:pt>
                <c:pt idx="518">
                  <c:v>138.6</c:v>
                </c:pt>
                <c:pt idx="519">
                  <c:v>146</c:v>
                </c:pt>
                <c:pt idx="520">
                  <c:v>155.19999999999999</c:v>
                </c:pt>
                <c:pt idx="521">
                  <c:v>164.2</c:v>
                </c:pt>
                <c:pt idx="522">
                  <c:v>168.8</c:v>
                </c:pt>
                <c:pt idx="523">
                  <c:v>175.8</c:v>
                </c:pt>
                <c:pt idx="524">
                  <c:v>184.5</c:v>
                </c:pt>
                <c:pt idx="525">
                  <c:v>194.8</c:v>
                </c:pt>
                <c:pt idx="526">
                  <c:v>209.3</c:v>
                </c:pt>
                <c:pt idx="527">
                  <c:v>210.4</c:v>
                </c:pt>
                <c:pt idx="528">
                  <c:v>216.4</c:v>
                </c:pt>
                <c:pt idx="529">
                  <c:v>224</c:v>
                </c:pt>
                <c:pt idx="530">
                  <c:v>233.1</c:v>
                </c:pt>
                <c:pt idx="531">
                  <c:v>244.4</c:v>
                </c:pt>
                <c:pt idx="532">
                  <c:v>247.6</c:v>
                </c:pt>
                <c:pt idx="533">
                  <c:v>250.6</c:v>
                </c:pt>
                <c:pt idx="534">
                  <c:v>255.3</c:v>
                </c:pt>
                <c:pt idx="535">
                  <c:v>260.60000000000002</c:v>
                </c:pt>
                <c:pt idx="536">
                  <c:v>266.3</c:v>
                </c:pt>
                <c:pt idx="537">
                  <c:v>270.5</c:v>
                </c:pt>
                <c:pt idx="538">
                  <c:v>271</c:v>
                </c:pt>
                <c:pt idx="539">
                  <c:v>272.8</c:v>
                </c:pt>
                <c:pt idx="540">
                  <c:v>274.89999999999998</c:v>
                </c:pt>
                <c:pt idx="541">
                  <c:v>277</c:v>
                </c:pt>
                <c:pt idx="542">
                  <c:v>278.7</c:v>
                </c:pt>
                <c:pt idx="543">
                  <c:v>279.3</c:v>
                </c:pt>
                <c:pt idx="544">
                  <c:v>279.89999999999998</c:v>
                </c:pt>
                <c:pt idx="545">
                  <c:v>280.60000000000002</c:v>
                </c:pt>
                <c:pt idx="546">
                  <c:v>281.3</c:v>
                </c:pt>
                <c:pt idx="547">
                  <c:v>281.8</c:v>
                </c:pt>
                <c:pt idx="548">
                  <c:v>282.3</c:v>
                </c:pt>
                <c:pt idx="549">
                  <c:v>282.60000000000002</c:v>
                </c:pt>
                <c:pt idx="550">
                  <c:v>282.89999999999998</c:v>
                </c:pt>
                <c:pt idx="551">
                  <c:v>283.2</c:v>
                </c:pt>
                <c:pt idx="552">
                  <c:v>283.5</c:v>
                </c:pt>
                <c:pt idx="553">
                  <c:v>283.7</c:v>
                </c:pt>
                <c:pt idx="554">
                  <c:v>283.89999999999998</c:v>
                </c:pt>
                <c:pt idx="555">
                  <c:v>284.10000000000002</c:v>
                </c:pt>
                <c:pt idx="556">
                  <c:v>284.2</c:v>
                </c:pt>
                <c:pt idx="557">
                  <c:v>284.39999999999998</c:v>
                </c:pt>
                <c:pt idx="558">
                  <c:v>284.5</c:v>
                </c:pt>
                <c:pt idx="559">
                  <c:v>284.60000000000002</c:v>
                </c:pt>
                <c:pt idx="560">
                  <c:v>284.8</c:v>
                </c:pt>
                <c:pt idx="561">
                  <c:v>284.89999999999998</c:v>
                </c:pt>
                <c:pt idx="562">
                  <c:v>285</c:v>
                </c:pt>
                <c:pt idx="563">
                  <c:v>285</c:v>
                </c:pt>
                <c:pt idx="564">
                  <c:v>285.10000000000002</c:v>
                </c:pt>
                <c:pt idx="565">
                  <c:v>285.2</c:v>
                </c:pt>
                <c:pt idx="566">
                  <c:v>285.3</c:v>
                </c:pt>
                <c:pt idx="567">
                  <c:v>285.3</c:v>
                </c:pt>
                <c:pt idx="568">
                  <c:v>285.39999999999998</c:v>
                </c:pt>
                <c:pt idx="569">
                  <c:v>285.5</c:v>
                </c:pt>
                <c:pt idx="570">
                  <c:v>285.5</c:v>
                </c:pt>
                <c:pt idx="571">
                  <c:v>285.60000000000002</c:v>
                </c:pt>
                <c:pt idx="572">
                  <c:v>285.60000000000002</c:v>
                </c:pt>
                <c:pt idx="573">
                  <c:v>285.7</c:v>
                </c:pt>
                <c:pt idx="574">
                  <c:v>285.7</c:v>
                </c:pt>
                <c:pt idx="575">
                  <c:v>285.7</c:v>
                </c:pt>
                <c:pt idx="576">
                  <c:v>285.7</c:v>
                </c:pt>
                <c:pt idx="577">
                  <c:v>285.8</c:v>
                </c:pt>
                <c:pt idx="578">
                  <c:v>285.8</c:v>
                </c:pt>
                <c:pt idx="579">
                  <c:v>285.8</c:v>
                </c:pt>
                <c:pt idx="580">
                  <c:v>285.8</c:v>
                </c:pt>
                <c:pt idx="581">
                  <c:v>285.89999999999998</c:v>
                </c:pt>
                <c:pt idx="582">
                  <c:v>285.89999999999998</c:v>
                </c:pt>
                <c:pt idx="583">
                  <c:v>285.89999999999998</c:v>
                </c:pt>
                <c:pt idx="584">
                  <c:v>285.89999999999998</c:v>
                </c:pt>
                <c:pt idx="585">
                  <c:v>285.89999999999998</c:v>
                </c:pt>
                <c:pt idx="586">
                  <c:v>285.89999999999998</c:v>
                </c:pt>
                <c:pt idx="587">
                  <c:v>286</c:v>
                </c:pt>
                <c:pt idx="588">
                  <c:v>286</c:v>
                </c:pt>
                <c:pt idx="589">
                  <c:v>286</c:v>
                </c:pt>
                <c:pt idx="590">
                  <c:v>286</c:v>
                </c:pt>
                <c:pt idx="591">
                  <c:v>286.10000000000002</c:v>
                </c:pt>
                <c:pt idx="592">
                  <c:v>286.10000000000002</c:v>
                </c:pt>
                <c:pt idx="593">
                  <c:v>286.10000000000002</c:v>
                </c:pt>
                <c:pt idx="594">
                  <c:v>286.10000000000002</c:v>
                </c:pt>
                <c:pt idx="595">
                  <c:v>286.10000000000002</c:v>
                </c:pt>
                <c:pt idx="596">
                  <c:v>286.10000000000002</c:v>
                </c:pt>
                <c:pt idx="597">
                  <c:v>286.10000000000002</c:v>
                </c:pt>
                <c:pt idx="598">
                  <c:v>286.10000000000002</c:v>
                </c:pt>
                <c:pt idx="599">
                  <c:v>286.10000000000002</c:v>
                </c:pt>
                <c:pt idx="600">
                  <c:v>286</c:v>
                </c:pt>
                <c:pt idx="601">
                  <c:v>286</c:v>
                </c:pt>
                <c:pt idx="602">
                  <c:v>286</c:v>
                </c:pt>
                <c:pt idx="603">
                  <c:v>286</c:v>
                </c:pt>
                <c:pt idx="604">
                  <c:v>286</c:v>
                </c:pt>
                <c:pt idx="605">
                  <c:v>286</c:v>
                </c:pt>
                <c:pt idx="606">
                  <c:v>286</c:v>
                </c:pt>
                <c:pt idx="607">
                  <c:v>285.89999999999998</c:v>
                </c:pt>
                <c:pt idx="608">
                  <c:v>285.89999999999998</c:v>
                </c:pt>
                <c:pt idx="609">
                  <c:v>285.89999999999998</c:v>
                </c:pt>
                <c:pt idx="610">
                  <c:v>285.8</c:v>
                </c:pt>
                <c:pt idx="611">
                  <c:v>285.8</c:v>
                </c:pt>
                <c:pt idx="612">
                  <c:v>285.8</c:v>
                </c:pt>
                <c:pt idx="613">
                  <c:v>285.7</c:v>
                </c:pt>
                <c:pt idx="614">
                  <c:v>285.60000000000002</c:v>
                </c:pt>
                <c:pt idx="615">
                  <c:v>285.60000000000002</c:v>
                </c:pt>
                <c:pt idx="616">
                  <c:v>285.5</c:v>
                </c:pt>
                <c:pt idx="617">
                  <c:v>285.39999999999998</c:v>
                </c:pt>
                <c:pt idx="618">
                  <c:v>285.3</c:v>
                </c:pt>
                <c:pt idx="619">
                  <c:v>285.10000000000002</c:v>
                </c:pt>
                <c:pt idx="620">
                  <c:v>285</c:v>
                </c:pt>
                <c:pt idx="621">
                  <c:v>284.8</c:v>
                </c:pt>
                <c:pt idx="622">
                  <c:v>284.60000000000002</c:v>
                </c:pt>
                <c:pt idx="623">
                  <c:v>284.39999999999998</c:v>
                </c:pt>
                <c:pt idx="624">
                  <c:v>284.2</c:v>
                </c:pt>
                <c:pt idx="625">
                  <c:v>283.89999999999998</c:v>
                </c:pt>
                <c:pt idx="626">
                  <c:v>283.7</c:v>
                </c:pt>
                <c:pt idx="627">
                  <c:v>283.39999999999998</c:v>
                </c:pt>
                <c:pt idx="628">
                  <c:v>283</c:v>
                </c:pt>
                <c:pt idx="629">
                  <c:v>282.60000000000002</c:v>
                </c:pt>
                <c:pt idx="630">
                  <c:v>282.2</c:v>
                </c:pt>
                <c:pt idx="631">
                  <c:v>281.8</c:v>
                </c:pt>
                <c:pt idx="632">
                  <c:v>281.3</c:v>
                </c:pt>
                <c:pt idx="633">
                  <c:v>280.39999999999998</c:v>
                </c:pt>
                <c:pt idx="634">
                  <c:v>279.5</c:v>
                </c:pt>
                <c:pt idx="635">
                  <c:v>278.5</c:v>
                </c:pt>
                <c:pt idx="636">
                  <c:v>277.7</c:v>
                </c:pt>
                <c:pt idx="637">
                  <c:v>277</c:v>
                </c:pt>
                <c:pt idx="638">
                  <c:v>274.2</c:v>
                </c:pt>
                <c:pt idx="639">
                  <c:v>271.3</c:v>
                </c:pt>
                <c:pt idx="640">
                  <c:v>268.39999999999998</c:v>
                </c:pt>
                <c:pt idx="641">
                  <c:v>266</c:v>
                </c:pt>
                <c:pt idx="642">
                  <c:v>265.3</c:v>
                </c:pt>
                <c:pt idx="643">
                  <c:v>259.5</c:v>
                </c:pt>
                <c:pt idx="644">
                  <c:v>252.7</c:v>
                </c:pt>
                <c:pt idx="645">
                  <c:v>246.5</c:v>
                </c:pt>
                <c:pt idx="646">
                  <c:v>241.2</c:v>
                </c:pt>
                <c:pt idx="647">
                  <c:v>237.5</c:v>
                </c:pt>
                <c:pt idx="648">
                  <c:v>232.9</c:v>
                </c:pt>
                <c:pt idx="649">
                  <c:v>222.1</c:v>
                </c:pt>
                <c:pt idx="650">
                  <c:v>213.4</c:v>
                </c:pt>
                <c:pt idx="651">
                  <c:v>205.9</c:v>
                </c:pt>
                <c:pt idx="652">
                  <c:v>199.9</c:v>
                </c:pt>
                <c:pt idx="653">
                  <c:v>197.7</c:v>
                </c:pt>
                <c:pt idx="654">
                  <c:v>185.4</c:v>
                </c:pt>
                <c:pt idx="655">
                  <c:v>176.5</c:v>
                </c:pt>
                <c:pt idx="656">
                  <c:v>168.9</c:v>
                </c:pt>
                <c:pt idx="657">
                  <c:v>162.6</c:v>
                </c:pt>
                <c:pt idx="658">
                  <c:v>157.9</c:v>
                </c:pt>
                <c:pt idx="659">
                  <c:v>150.80000000000001</c:v>
                </c:pt>
                <c:pt idx="660">
                  <c:v>143.4</c:v>
                </c:pt>
                <c:pt idx="661">
                  <c:v>137.19999999999999</c:v>
                </c:pt>
                <c:pt idx="662">
                  <c:v>131.9</c:v>
                </c:pt>
                <c:pt idx="663">
                  <c:v>127.4</c:v>
                </c:pt>
                <c:pt idx="664">
                  <c:v>123.1</c:v>
                </c:pt>
                <c:pt idx="665">
                  <c:v>117.6</c:v>
                </c:pt>
                <c:pt idx="666">
                  <c:v>113.1</c:v>
                </c:pt>
                <c:pt idx="667">
                  <c:v>109.2</c:v>
                </c:pt>
                <c:pt idx="668">
                  <c:v>105.6</c:v>
                </c:pt>
                <c:pt idx="669">
                  <c:v>102.8</c:v>
                </c:pt>
                <c:pt idx="670">
                  <c:v>99</c:v>
                </c:pt>
                <c:pt idx="671">
                  <c:v>95.8</c:v>
                </c:pt>
                <c:pt idx="672">
                  <c:v>92.9</c:v>
                </c:pt>
                <c:pt idx="673">
                  <c:v>90.3</c:v>
                </c:pt>
                <c:pt idx="674">
                  <c:v>88</c:v>
                </c:pt>
                <c:pt idx="675">
                  <c:v>85.6</c:v>
                </c:pt>
                <c:pt idx="676">
                  <c:v>83.4</c:v>
                </c:pt>
                <c:pt idx="677">
                  <c:v>81.3</c:v>
                </c:pt>
                <c:pt idx="678">
                  <c:v>79.400000000000006</c:v>
                </c:pt>
                <c:pt idx="679">
                  <c:v>77.599999999999994</c:v>
                </c:pt>
                <c:pt idx="680">
                  <c:v>75.900000000000006</c:v>
                </c:pt>
                <c:pt idx="681">
                  <c:v>74.2</c:v>
                </c:pt>
                <c:pt idx="682">
                  <c:v>72.7</c:v>
                </c:pt>
                <c:pt idx="683">
                  <c:v>71.2</c:v>
                </c:pt>
                <c:pt idx="684">
                  <c:v>69.8</c:v>
                </c:pt>
                <c:pt idx="685">
                  <c:v>68.5</c:v>
                </c:pt>
                <c:pt idx="686">
                  <c:v>67.3</c:v>
                </c:pt>
                <c:pt idx="687">
                  <c:v>66.099999999999994</c:v>
                </c:pt>
                <c:pt idx="688">
                  <c:v>65</c:v>
                </c:pt>
                <c:pt idx="689">
                  <c:v>63.9</c:v>
                </c:pt>
                <c:pt idx="690">
                  <c:v>62.9</c:v>
                </c:pt>
                <c:pt idx="691">
                  <c:v>61.9</c:v>
                </c:pt>
                <c:pt idx="692">
                  <c:v>61</c:v>
                </c:pt>
                <c:pt idx="693">
                  <c:v>60.1</c:v>
                </c:pt>
                <c:pt idx="694">
                  <c:v>59.2</c:v>
                </c:pt>
                <c:pt idx="695">
                  <c:v>58.3</c:v>
                </c:pt>
                <c:pt idx="696">
                  <c:v>57.5</c:v>
                </c:pt>
                <c:pt idx="697">
                  <c:v>56.8</c:v>
                </c:pt>
                <c:pt idx="698">
                  <c:v>56</c:v>
                </c:pt>
                <c:pt idx="699">
                  <c:v>55.3</c:v>
                </c:pt>
                <c:pt idx="700">
                  <c:v>54.6</c:v>
                </c:pt>
                <c:pt idx="701">
                  <c:v>53.9</c:v>
                </c:pt>
                <c:pt idx="702">
                  <c:v>53.3</c:v>
                </c:pt>
                <c:pt idx="703">
                  <c:v>52.6</c:v>
                </c:pt>
                <c:pt idx="704">
                  <c:v>52</c:v>
                </c:pt>
                <c:pt idx="705">
                  <c:v>51.4</c:v>
                </c:pt>
                <c:pt idx="706">
                  <c:v>50.9</c:v>
                </c:pt>
                <c:pt idx="707">
                  <c:v>50.3</c:v>
                </c:pt>
                <c:pt idx="708">
                  <c:v>49.8</c:v>
                </c:pt>
                <c:pt idx="709">
                  <c:v>49.2</c:v>
                </c:pt>
                <c:pt idx="710">
                  <c:v>48.7</c:v>
                </c:pt>
                <c:pt idx="711">
                  <c:v>48.3</c:v>
                </c:pt>
                <c:pt idx="712">
                  <c:v>47.8</c:v>
                </c:pt>
                <c:pt idx="713">
                  <c:v>47.3</c:v>
                </c:pt>
                <c:pt idx="714">
                  <c:v>46.9</c:v>
                </c:pt>
                <c:pt idx="715">
                  <c:v>46.4</c:v>
                </c:pt>
                <c:pt idx="716">
                  <c:v>46</c:v>
                </c:pt>
                <c:pt idx="717">
                  <c:v>45.6</c:v>
                </c:pt>
                <c:pt idx="718">
                  <c:v>45.2</c:v>
                </c:pt>
                <c:pt idx="719">
                  <c:v>44.8</c:v>
                </c:pt>
                <c:pt idx="720">
                  <c:v>44.5</c:v>
                </c:pt>
                <c:pt idx="721">
                  <c:v>44.1</c:v>
                </c:pt>
                <c:pt idx="722">
                  <c:v>43.7</c:v>
                </c:pt>
                <c:pt idx="723">
                  <c:v>43.4</c:v>
                </c:pt>
                <c:pt idx="724">
                  <c:v>43.1</c:v>
                </c:pt>
                <c:pt idx="725">
                  <c:v>42.7</c:v>
                </c:pt>
                <c:pt idx="726">
                  <c:v>42.4</c:v>
                </c:pt>
                <c:pt idx="727">
                  <c:v>42.1</c:v>
                </c:pt>
                <c:pt idx="728">
                  <c:v>41.8</c:v>
                </c:pt>
                <c:pt idx="729">
                  <c:v>41.5</c:v>
                </c:pt>
                <c:pt idx="730">
                  <c:v>41.2</c:v>
                </c:pt>
                <c:pt idx="731">
                  <c:v>40.9</c:v>
                </c:pt>
                <c:pt idx="732">
                  <c:v>40.700000000000003</c:v>
                </c:pt>
                <c:pt idx="733">
                  <c:v>40.4</c:v>
                </c:pt>
                <c:pt idx="734">
                  <c:v>40.200000000000003</c:v>
                </c:pt>
                <c:pt idx="735">
                  <c:v>39.9</c:v>
                </c:pt>
                <c:pt idx="736">
                  <c:v>39.700000000000003</c:v>
                </c:pt>
                <c:pt idx="737">
                  <c:v>39.4</c:v>
                </c:pt>
                <c:pt idx="738">
                  <c:v>39.200000000000003</c:v>
                </c:pt>
                <c:pt idx="739">
                  <c:v>39</c:v>
                </c:pt>
                <c:pt idx="740">
                  <c:v>38.700000000000003</c:v>
                </c:pt>
                <c:pt idx="741">
                  <c:v>38.5</c:v>
                </c:pt>
                <c:pt idx="742">
                  <c:v>38.299999999999997</c:v>
                </c:pt>
                <c:pt idx="743">
                  <c:v>38.1</c:v>
                </c:pt>
                <c:pt idx="744">
                  <c:v>37.9</c:v>
                </c:pt>
                <c:pt idx="745">
                  <c:v>37.700000000000003</c:v>
                </c:pt>
                <c:pt idx="746">
                  <c:v>37.5</c:v>
                </c:pt>
                <c:pt idx="747">
                  <c:v>37.4</c:v>
                </c:pt>
                <c:pt idx="748">
                  <c:v>37.200000000000003</c:v>
                </c:pt>
                <c:pt idx="749">
                  <c:v>37</c:v>
                </c:pt>
                <c:pt idx="750">
                  <c:v>36.799999999999997</c:v>
                </c:pt>
                <c:pt idx="751">
                  <c:v>36.700000000000003</c:v>
                </c:pt>
                <c:pt idx="752">
                  <c:v>36.5</c:v>
                </c:pt>
                <c:pt idx="753">
                  <c:v>36.299999999999997</c:v>
                </c:pt>
                <c:pt idx="754">
                  <c:v>36.200000000000003</c:v>
                </c:pt>
                <c:pt idx="755">
                  <c:v>36</c:v>
                </c:pt>
                <c:pt idx="756">
                  <c:v>35.9</c:v>
                </c:pt>
                <c:pt idx="757">
                  <c:v>35.700000000000003</c:v>
                </c:pt>
                <c:pt idx="758">
                  <c:v>35.6</c:v>
                </c:pt>
                <c:pt idx="759">
                  <c:v>35.5</c:v>
                </c:pt>
                <c:pt idx="760">
                  <c:v>35.299999999999997</c:v>
                </c:pt>
                <c:pt idx="761">
                  <c:v>35.200000000000003</c:v>
                </c:pt>
                <c:pt idx="762">
                  <c:v>35.1</c:v>
                </c:pt>
                <c:pt idx="763">
                  <c:v>35</c:v>
                </c:pt>
                <c:pt idx="764">
                  <c:v>34.799999999999997</c:v>
                </c:pt>
                <c:pt idx="765">
                  <c:v>34.700000000000003</c:v>
                </c:pt>
                <c:pt idx="766">
                  <c:v>34.6</c:v>
                </c:pt>
                <c:pt idx="767">
                  <c:v>34.5</c:v>
                </c:pt>
                <c:pt idx="768">
                  <c:v>34.4</c:v>
                </c:pt>
                <c:pt idx="769">
                  <c:v>34.299999999999997</c:v>
                </c:pt>
                <c:pt idx="770">
                  <c:v>34.200000000000003</c:v>
                </c:pt>
                <c:pt idx="771">
                  <c:v>34.1</c:v>
                </c:pt>
                <c:pt idx="772">
                  <c:v>34</c:v>
                </c:pt>
                <c:pt idx="773">
                  <c:v>33.9</c:v>
                </c:pt>
                <c:pt idx="774">
                  <c:v>33.799999999999997</c:v>
                </c:pt>
                <c:pt idx="775">
                  <c:v>33.700000000000003</c:v>
                </c:pt>
                <c:pt idx="776">
                  <c:v>33.6</c:v>
                </c:pt>
                <c:pt idx="777">
                  <c:v>33.5</c:v>
                </c:pt>
                <c:pt idx="778">
                  <c:v>33.4</c:v>
                </c:pt>
                <c:pt idx="779">
                  <c:v>33.299999999999997</c:v>
                </c:pt>
                <c:pt idx="780">
                  <c:v>33.299999999999997</c:v>
                </c:pt>
                <c:pt idx="781">
                  <c:v>33.200000000000003</c:v>
                </c:pt>
                <c:pt idx="782">
                  <c:v>33.1</c:v>
                </c:pt>
                <c:pt idx="783">
                  <c:v>33</c:v>
                </c:pt>
                <c:pt idx="784">
                  <c:v>33</c:v>
                </c:pt>
                <c:pt idx="785">
                  <c:v>32.9</c:v>
                </c:pt>
                <c:pt idx="786">
                  <c:v>32.799999999999997</c:v>
                </c:pt>
                <c:pt idx="787">
                  <c:v>32.799999999999997</c:v>
                </c:pt>
                <c:pt idx="788">
                  <c:v>32.700000000000003</c:v>
                </c:pt>
                <c:pt idx="789">
                  <c:v>32.6</c:v>
                </c:pt>
                <c:pt idx="790">
                  <c:v>32.6</c:v>
                </c:pt>
                <c:pt idx="791">
                  <c:v>32.5</c:v>
                </c:pt>
                <c:pt idx="792">
                  <c:v>32.4</c:v>
                </c:pt>
                <c:pt idx="793">
                  <c:v>32.4</c:v>
                </c:pt>
                <c:pt idx="794">
                  <c:v>32.299999999999997</c:v>
                </c:pt>
                <c:pt idx="795">
                  <c:v>32.299999999999997</c:v>
                </c:pt>
                <c:pt idx="796">
                  <c:v>32.200000000000003</c:v>
                </c:pt>
                <c:pt idx="797">
                  <c:v>32.200000000000003</c:v>
                </c:pt>
                <c:pt idx="798">
                  <c:v>32.1</c:v>
                </c:pt>
                <c:pt idx="799">
                  <c:v>32.1</c:v>
                </c:pt>
                <c:pt idx="800">
                  <c:v>32</c:v>
                </c:pt>
                <c:pt idx="801">
                  <c:v>32</c:v>
                </c:pt>
                <c:pt idx="802">
                  <c:v>31.9</c:v>
                </c:pt>
                <c:pt idx="803">
                  <c:v>31.9</c:v>
                </c:pt>
                <c:pt idx="804">
                  <c:v>31.9</c:v>
                </c:pt>
                <c:pt idx="805">
                  <c:v>31.8</c:v>
                </c:pt>
                <c:pt idx="806">
                  <c:v>31.8</c:v>
                </c:pt>
                <c:pt idx="807">
                  <c:v>31.7</c:v>
                </c:pt>
                <c:pt idx="808">
                  <c:v>31.7</c:v>
                </c:pt>
                <c:pt idx="809">
                  <c:v>31.7</c:v>
                </c:pt>
                <c:pt idx="810">
                  <c:v>31.6</c:v>
                </c:pt>
                <c:pt idx="811">
                  <c:v>31.6</c:v>
                </c:pt>
                <c:pt idx="812">
                  <c:v>31.6</c:v>
                </c:pt>
                <c:pt idx="813">
                  <c:v>31.5</c:v>
                </c:pt>
                <c:pt idx="814">
                  <c:v>31.5</c:v>
                </c:pt>
                <c:pt idx="815">
                  <c:v>31.5</c:v>
                </c:pt>
                <c:pt idx="816">
                  <c:v>31.5</c:v>
                </c:pt>
                <c:pt idx="817">
                  <c:v>31.4</c:v>
                </c:pt>
                <c:pt idx="818">
                  <c:v>31.4</c:v>
                </c:pt>
                <c:pt idx="819">
                  <c:v>31.4</c:v>
                </c:pt>
                <c:pt idx="820">
                  <c:v>31.4</c:v>
                </c:pt>
                <c:pt idx="821">
                  <c:v>31.3</c:v>
                </c:pt>
                <c:pt idx="822">
                  <c:v>31.3</c:v>
                </c:pt>
                <c:pt idx="823">
                  <c:v>31.3</c:v>
                </c:pt>
                <c:pt idx="824">
                  <c:v>31.3</c:v>
                </c:pt>
                <c:pt idx="825">
                  <c:v>31.3</c:v>
                </c:pt>
                <c:pt idx="826">
                  <c:v>31.2</c:v>
                </c:pt>
                <c:pt idx="827">
                  <c:v>31.2</c:v>
                </c:pt>
                <c:pt idx="828">
                  <c:v>31.2</c:v>
                </c:pt>
                <c:pt idx="829">
                  <c:v>31.2</c:v>
                </c:pt>
                <c:pt idx="830">
                  <c:v>31.2</c:v>
                </c:pt>
                <c:pt idx="831">
                  <c:v>31.2</c:v>
                </c:pt>
                <c:pt idx="832">
                  <c:v>31.2</c:v>
                </c:pt>
                <c:pt idx="833">
                  <c:v>31.1</c:v>
                </c:pt>
                <c:pt idx="834">
                  <c:v>31.1</c:v>
                </c:pt>
                <c:pt idx="835">
                  <c:v>31.1</c:v>
                </c:pt>
                <c:pt idx="836">
                  <c:v>31.1</c:v>
                </c:pt>
                <c:pt idx="837">
                  <c:v>31.1</c:v>
                </c:pt>
                <c:pt idx="838">
                  <c:v>31.1</c:v>
                </c:pt>
                <c:pt idx="839">
                  <c:v>31.1</c:v>
                </c:pt>
                <c:pt idx="840">
                  <c:v>31.1</c:v>
                </c:pt>
                <c:pt idx="841">
                  <c:v>31.1</c:v>
                </c:pt>
                <c:pt idx="842">
                  <c:v>31.1</c:v>
                </c:pt>
                <c:pt idx="843">
                  <c:v>31.1</c:v>
                </c:pt>
                <c:pt idx="844">
                  <c:v>31.1</c:v>
                </c:pt>
                <c:pt idx="845">
                  <c:v>31.1</c:v>
                </c:pt>
                <c:pt idx="846">
                  <c:v>31.1</c:v>
                </c:pt>
                <c:pt idx="847">
                  <c:v>31.1</c:v>
                </c:pt>
                <c:pt idx="848">
                  <c:v>31.1</c:v>
                </c:pt>
                <c:pt idx="849">
                  <c:v>31.1</c:v>
                </c:pt>
                <c:pt idx="850">
                  <c:v>31.1</c:v>
                </c:pt>
                <c:pt idx="851">
                  <c:v>31.1</c:v>
                </c:pt>
                <c:pt idx="852">
                  <c:v>31.1</c:v>
                </c:pt>
                <c:pt idx="853">
                  <c:v>31.1</c:v>
                </c:pt>
                <c:pt idx="854">
                  <c:v>31.1</c:v>
                </c:pt>
                <c:pt idx="855">
                  <c:v>31.1</c:v>
                </c:pt>
                <c:pt idx="856">
                  <c:v>31.1</c:v>
                </c:pt>
                <c:pt idx="857">
                  <c:v>31.1</c:v>
                </c:pt>
                <c:pt idx="858">
                  <c:v>31.1</c:v>
                </c:pt>
                <c:pt idx="859">
                  <c:v>31.1</c:v>
                </c:pt>
                <c:pt idx="860">
                  <c:v>31.1</c:v>
                </c:pt>
                <c:pt idx="861">
                  <c:v>31.1</c:v>
                </c:pt>
                <c:pt idx="862">
                  <c:v>31.1</c:v>
                </c:pt>
                <c:pt idx="863">
                  <c:v>31.1</c:v>
                </c:pt>
                <c:pt idx="864">
                  <c:v>31.1</c:v>
                </c:pt>
                <c:pt idx="865">
                  <c:v>31.2</c:v>
                </c:pt>
                <c:pt idx="866">
                  <c:v>31.2</c:v>
                </c:pt>
                <c:pt idx="867">
                  <c:v>31.2</c:v>
                </c:pt>
                <c:pt idx="868">
                  <c:v>31.2</c:v>
                </c:pt>
                <c:pt idx="869">
                  <c:v>31.2</c:v>
                </c:pt>
                <c:pt idx="870">
                  <c:v>31.2</c:v>
                </c:pt>
                <c:pt idx="871">
                  <c:v>31.2</c:v>
                </c:pt>
                <c:pt idx="872">
                  <c:v>31.2</c:v>
                </c:pt>
                <c:pt idx="873">
                  <c:v>31.2</c:v>
                </c:pt>
                <c:pt idx="874">
                  <c:v>31.3</c:v>
                </c:pt>
                <c:pt idx="875">
                  <c:v>31.3</c:v>
                </c:pt>
                <c:pt idx="876">
                  <c:v>31.3</c:v>
                </c:pt>
                <c:pt idx="877">
                  <c:v>31.3</c:v>
                </c:pt>
                <c:pt idx="878">
                  <c:v>31.3</c:v>
                </c:pt>
                <c:pt idx="879">
                  <c:v>31.3</c:v>
                </c:pt>
                <c:pt idx="880">
                  <c:v>31.4</c:v>
                </c:pt>
                <c:pt idx="881">
                  <c:v>31.4</c:v>
                </c:pt>
                <c:pt idx="882">
                  <c:v>31.4</c:v>
                </c:pt>
                <c:pt idx="883">
                  <c:v>31.4</c:v>
                </c:pt>
                <c:pt idx="884">
                  <c:v>31.4</c:v>
                </c:pt>
                <c:pt idx="885">
                  <c:v>31.4</c:v>
                </c:pt>
                <c:pt idx="886">
                  <c:v>31.5</c:v>
                </c:pt>
                <c:pt idx="887">
                  <c:v>31.5</c:v>
                </c:pt>
                <c:pt idx="888">
                  <c:v>31.5</c:v>
                </c:pt>
                <c:pt idx="889">
                  <c:v>31.5</c:v>
                </c:pt>
                <c:pt idx="890">
                  <c:v>31.6</c:v>
                </c:pt>
                <c:pt idx="891">
                  <c:v>31.6</c:v>
                </c:pt>
                <c:pt idx="892">
                  <c:v>31.6</c:v>
                </c:pt>
                <c:pt idx="893">
                  <c:v>31.6</c:v>
                </c:pt>
                <c:pt idx="894">
                  <c:v>31.6</c:v>
                </c:pt>
                <c:pt idx="895">
                  <c:v>31.7</c:v>
                </c:pt>
                <c:pt idx="896">
                  <c:v>31.7</c:v>
                </c:pt>
                <c:pt idx="897">
                  <c:v>31.7</c:v>
                </c:pt>
                <c:pt idx="898">
                  <c:v>31.7</c:v>
                </c:pt>
                <c:pt idx="899">
                  <c:v>31.8</c:v>
                </c:pt>
                <c:pt idx="900">
                  <c:v>31.8</c:v>
                </c:pt>
                <c:pt idx="901">
                  <c:v>31.8</c:v>
                </c:pt>
                <c:pt idx="902">
                  <c:v>31.8</c:v>
                </c:pt>
                <c:pt idx="903">
                  <c:v>31.9</c:v>
                </c:pt>
                <c:pt idx="904">
                  <c:v>31.9</c:v>
                </c:pt>
                <c:pt idx="905">
                  <c:v>31.9</c:v>
                </c:pt>
                <c:pt idx="906">
                  <c:v>32</c:v>
                </c:pt>
                <c:pt idx="907">
                  <c:v>32</c:v>
                </c:pt>
                <c:pt idx="908">
                  <c:v>32</c:v>
                </c:pt>
                <c:pt idx="909">
                  <c:v>32</c:v>
                </c:pt>
                <c:pt idx="910">
                  <c:v>32.1</c:v>
                </c:pt>
                <c:pt idx="911">
                  <c:v>32.1</c:v>
                </c:pt>
                <c:pt idx="912">
                  <c:v>32.1</c:v>
                </c:pt>
                <c:pt idx="913">
                  <c:v>32.200000000000003</c:v>
                </c:pt>
                <c:pt idx="914">
                  <c:v>32.200000000000003</c:v>
                </c:pt>
                <c:pt idx="915">
                  <c:v>32.200000000000003</c:v>
                </c:pt>
                <c:pt idx="916">
                  <c:v>32.299999999999997</c:v>
                </c:pt>
                <c:pt idx="917">
                  <c:v>32.299999999999997</c:v>
                </c:pt>
                <c:pt idx="918">
                  <c:v>32.299999999999997</c:v>
                </c:pt>
                <c:pt idx="919">
                  <c:v>32.4</c:v>
                </c:pt>
                <c:pt idx="920">
                  <c:v>32.4</c:v>
                </c:pt>
                <c:pt idx="921">
                  <c:v>32.4</c:v>
                </c:pt>
                <c:pt idx="922">
                  <c:v>32.5</c:v>
                </c:pt>
                <c:pt idx="923">
                  <c:v>32.5</c:v>
                </c:pt>
                <c:pt idx="924">
                  <c:v>32.5</c:v>
                </c:pt>
                <c:pt idx="925">
                  <c:v>32.6</c:v>
                </c:pt>
                <c:pt idx="926">
                  <c:v>32.6</c:v>
                </c:pt>
                <c:pt idx="927">
                  <c:v>32.6</c:v>
                </c:pt>
                <c:pt idx="928">
                  <c:v>32.700000000000003</c:v>
                </c:pt>
                <c:pt idx="929">
                  <c:v>32.700000000000003</c:v>
                </c:pt>
                <c:pt idx="930">
                  <c:v>32.700000000000003</c:v>
                </c:pt>
                <c:pt idx="931">
                  <c:v>32.799999999999997</c:v>
                </c:pt>
                <c:pt idx="932">
                  <c:v>32.799999999999997</c:v>
                </c:pt>
                <c:pt idx="933">
                  <c:v>32.799999999999997</c:v>
                </c:pt>
                <c:pt idx="934">
                  <c:v>32.9</c:v>
                </c:pt>
                <c:pt idx="935">
                  <c:v>32.9</c:v>
                </c:pt>
                <c:pt idx="936">
                  <c:v>33</c:v>
                </c:pt>
                <c:pt idx="937">
                  <c:v>33</c:v>
                </c:pt>
                <c:pt idx="938">
                  <c:v>33</c:v>
                </c:pt>
                <c:pt idx="939">
                  <c:v>33.1</c:v>
                </c:pt>
                <c:pt idx="940">
                  <c:v>33.1</c:v>
                </c:pt>
                <c:pt idx="941">
                  <c:v>33.200000000000003</c:v>
                </c:pt>
                <c:pt idx="942">
                  <c:v>33.200000000000003</c:v>
                </c:pt>
                <c:pt idx="943">
                  <c:v>33.200000000000003</c:v>
                </c:pt>
                <c:pt idx="944">
                  <c:v>33.299999999999997</c:v>
                </c:pt>
                <c:pt idx="945">
                  <c:v>33.299999999999997</c:v>
                </c:pt>
                <c:pt idx="946">
                  <c:v>33.4</c:v>
                </c:pt>
                <c:pt idx="947">
                  <c:v>33.4</c:v>
                </c:pt>
                <c:pt idx="948">
                  <c:v>33.5</c:v>
                </c:pt>
                <c:pt idx="949">
                  <c:v>33.5</c:v>
                </c:pt>
                <c:pt idx="950">
                  <c:v>33.5</c:v>
                </c:pt>
                <c:pt idx="951">
                  <c:v>33.6</c:v>
                </c:pt>
                <c:pt idx="952">
                  <c:v>33.6</c:v>
                </c:pt>
                <c:pt idx="953">
                  <c:v>33.700000000000003</c:v>
                </c:pt>
                <c:pt idx="954">
                  <c:v>33.700000000000003</c:v>
                </c:pt>
                <c:pt idx="955">
                  <c:v>33.799999999999997</c:v>
                </c:pt>
                <c:pt idx="956">
                  <c:v>33.799999999999997</c:v>
                </c:pt>
                <c:pt idx="957">
                  <c:v>33.9</c:v>
                </c:pt>
                <c:pt idx="958">
                  <c:v>33.9</c:v>
                </c:pt>
                <c:pt idx="959">
                  <c:v>33.9</c:v>
                </c:pt>
                <c:pt idx="960">
                  <c:v>34</c:v>
                </c:pt>
                <c:pt idx="961">
                  <c:v>34</c:v>
                </c:pt>
                <c:pt idx="962">
                  <c:v>34.1</c:v>
                </c:pt>
                <c:pt idx="963">
                  <c:v>34.1</c:v>
                </c:pt>
                <c:pt idx="964">
                  <c:v>34.200000000000003</c:v>
                </c:pt>
                <c:pt idx="965">
                  <c:v>34.200000000000003</c:v>
                </c:pt>
                <c:pt idx="966">
                  <c:v>34.299999999999997</c:v>
                </c:pt>
                <c:pt idx="967">
                  <c:v>34.299999999999997</c:v>
                </c:pt>
                <c:pt idx="968">
                  <c:v>34.4</c:v>
                </c:pt>
                <c:pt idx="969">
                  <c:v>34.4</c:v>
                </c:pt>
                <c:pt idx="970">
                  <c:v>34.5</c:v>
                </c:pt>
                <c:pt idx="971">
                  <c:v>34.5</c:v>
                </c:pt>
                <c:pt idx="972">
                  <c:v>34.6</c:v>
                </c:pt>
                <c:pt idx="973">
                  <c:v>34.6</c:v>
                </c:pt>
                <c:pt idx="974">
                  <c:v>34.700000000000003</c:v>
                </c:pt>
                <c:pt idx="975">
                  <c:v>34.700000000000003</c:v>
                </c:pt>
                <c:pt idx="976">
                  <c:v>34.799999999999997</c:v>
                </c:pt>
                <c:pt idx="977">
                  <c:v>34.9</c:v>
                </c:pt>
                <c:pt idx="978">
                  <c:v>34.9</c:v>
                </c:pt>
                <c:pt idx="979">
                  <c:v>35</c:v>
                </c:pt>
                <c:pt idx="980">
                  <c:v>35</c:v>
                </c:pt>
                <c:pt idx="981">
                  <c:v>35.1</c:v>
                </c:pt>
                <c:pt idx="982">
                  <c:v>35.1</c:v>
                </c:pt>
                <c:pt idx="983">
                  <c:v>35.200000000000003</c:v>
                </c:pt>
                <c:pt idx="984">
                  <c:v>35.200000000000003</c:v>
                </c:pt>
                <c:pt idx="985">
                  <c:v>35.299999999999997</c:v>
                </c:pt>
                <c:pt idx="986">
                  <c:v>35.4</c:v>
                </c:pt>
                <c:pt idx="987">
                  <c:v>35.4</c:v>
                </c:pt>
                <c:pt idx="988">
                  <c:v>35.5</c:v>
                </c:pt>
                <c:pt idx="989">
                  <c:v>35.5</c:v>
                </c:pt>
                <c:pt idx="990">
                  <c:v>35.6</c:v>
                </c:pt>
                <c:pt idx="991">
                  <c:v>35.6</c:v>
                </c:pt>
                <c:pt idx="992">
                  <c:v>35.700000000000003</c:v>
                </c:pt>
                <c:pt idx="993">
                  <c:v>35.799999999999997</c:v>
                </c:pt>
                <c:pt idx="994">
                  <c:v>35.799999999999997</c:v>
                </c:pt>
                <c:pt idx="995">
                  <c:v>35.9</c:v>
                </c:pt>
                <c:pt idx="996">
                  <c:v>36</c:v>
                </c:pt>
                <c:pt idx="997">
                  <c:v>36</c:v>
                </c:pt>
                <c:pt idx="998">
                  <c:v>36.1</c:v>
                </c:pt>
                <c:pt idx="999">
                  <c:v>36.1</c:v>
                </c:pt>
                <c:pt idx="1000">
                  <c:v>36.200000000000003</c:v>
                </c:pt>
                <c:pt idx="1001">
                  <c:v>36.299999999999997</c:v>
                </c:pt>
                <c:pt idx="1002">
                  <c:v>36.299999999999997</c:v>
                </c:pt>
                <c:pt idx="1003">
                  <c:v>36.4</c:v>
                </c:pt>
                <c:pt idx="1004">
                  <c:v>36.5</c:v>
                </c:pt>
                <c:pt idx="1005">
                  <c:v>36.5</c:v>
                </c:pt>
                <c:pt idx="1006">
                  <c:v>36.6</c:v>
                </c:pt>
                <c:pt idx="1007">
                  <c:v>36.700000000000003</c:v>
                </c:pt>
                <c:pt idx="1008">
                  <c:v>36.700000000000003</c:v>
                </c:pt>
                <c:pt idx="1009">
                  <c:v>36.799999999999997</c:v>
                </c:pt>
                <c:pt idx="1010">
                  <c:v>36.9</c:v>
                </c:pt>
                <c:pt idx="1011">
                  <c:v>36.9</c:v>
                </c:pt>
                <c:pt idx="1012">
                  <c:v>37</c:v>
                </c:pt>
                <c:pt idx="1013">
                  <c:v>37.1</c:v>
                </c:pt>
                <c:pt idx="1014">
                  <c:v>37.200000000000003</c:v>
                </c:pt>
                <c:pt idx="1015">
                  <c:v>37.200000000000003</c:v>
                </c:pt>
                <c:pt idx="1016">
                  <c:v>37.299999999999997</c:v>
                </c:pt>
                <c:pt idx="1017">
                  <c:v>37.4</c:v>
                </c:pt>
                <c:pt idx="1018">
                  <c:v>37.5</c:v>
                </c:pt>
                <c:pt idx="1019">
                  <c:v>37.5</c:v>
                </c:pt>
                <c:pt idx="1020">
                  <c:v>37.6</c:v>
                </c:pt>
                <c:pt idx="1021">
                  <c:v>37.700000000000003</c:v>
                </c:pt>
                <c:pt idx="1022">
                  <c:v>37.799999999999997</c:v>
                </c:pt>
                <c:pt idx="1023">
                  <c:v>37.799999999999997</c:v>
                </c:pt>
                <c:pt idx="1024">
                  <c:v>37.9</c:v>
                </c:pt>
                <c:pt idx="1025">
                  <c:v>38</c:v>
                </c:pt>
                <c:pt idx="1026">
                  <c:v>38.1</c:v>
                </c:pt>
                <c:pt idx="1027">
                  <c:v>38.200000000000003</c:v>
                </c:pt>
                <c:pt idx="1028">
                  <c:v>38.200000000000003</c:v>
                </c:pt>
                <c:pt idx="1029">
                  <c:v>38.299999999999997</c:v>
                </c:pt>
                <c:pt idx="1030">
                  <c:v>38.4</c:v>
                </c:pt>
                <c:pt idx="1031">
                  <c:v>38.5</c:v>
                </c:pt>
                <c:pt idx="1032">
                  <c:v>38.6</c:v>
                </c:pt>
                <c:pt idx="1033">
                  <c:v>38.700000000000003</c:v>
                </c:pt>
                <c:pt idx="1034">
                  <c:v>38.799999999999997</c:v>
                </c:pt>
                <c:pt idx="1035">
                  <c:v>38.9</c:v>
                </c:pt>
                <c:pt idx="1036">
                  <c:v>38.9</c:v>
                </c:pt>
                <c:pt idx="1037">
                  <c:v>39</c:v>
                </c:pt>
                <c:pt idx="1038">
                  <c:v>39.1</c:v>
                </c:pt>
                <c:pt idx="1039">
                  <c:v>39.200000000000003</c:v>
                </c:pt>
                <c:pt idx="1040">
                  <c:v>39.299999999999997</c:v>
                </c:pt>
                <c:pt idx="1041">
                  <c:v>39.4</c:v>
                </c:pt>
                <c:pt idx="1042">
                  <c:v>39.5</c:v>
                </c:pt>
                <c:pt idx="1043">
                  <c:v>39.6</c:v>
                </c:pt>
                <c:pt idx="1044">
                  <c:v>39.700000000000003</c:v>
                </c:pt>
                <c:pt idx="1045">
                  <c:v>39.799999999999997</c:v>
                </c:pt>
                <c:pt idx="1046">
                  <c:v>39.9</c:v>
                </c:pt>
                <c:pt idx="1047">
                  <c:v>40</c:v>
                </c:pt>
                <c:pt idx="1048">
                  <c:v>40.1</c:v>
                </c:pt>
                <c:pt idx="1049">
                  <c:v>40.200000000000003</c:v>
                </c:pt>
                <c:pt idx="1050">
                  <c:v>40.299999999999997</c:v>
                </c:pt>
                <c:pt idx="1051">
                  <c:v>40.5</c:v>
                </c:pt>
                <c:pt idx="1052">
                  <c:v>40.6</c:v>
                </c:pt>
                <c:pt idx="1053">
                  <c:v>40.700000000000003</c:v>
                </c:pt>
                <c:pt idx="1054">
                  <c:v>40.799999999999997</c:v>
                </c:pt>
                <c:pt idx="1055">
                  <c:v>40.9</c:v>
                </c:pt>
                <c:pt idx="1056">
                  <c:v>41</c:v>
                </c:pt>
                <c:pt idx="1057">
                  <c:v>41.1</c:v>
                </c:pt>
                <c:pt idx="1058">
                  <c:v>41.3</c:v>
                </c:pt>
                <c:pt idx="1059">
                  <c:v>41.4</c:v>
                </c:pt>
                <c:pt idx="1060">
                  <c:v>41.5</c:v>
                </c:pt>
                <c:pt idx="1061">
                  <c:v>41.6</c:v>
                </c:pt>
                <c:pt idx="1062">
                  <c:v>41.8</c:v>
                </c:pt>
                <c:pt idx="1063">
                  <c:v>41.9</c:v>
                </c:pt>
                <c:pt idx="1064">
                  <c:v>42</c:v>
                </c:pt>
                <c:pt idx="1065">
                  <c:v>42.2</c:v>
                </c:pt>
                <c:pt idx="1066">
                  <c:v>42.3</c:v>
                </c:pt>
                <c:pt idx="1067">
                  <c:v>42.5</c:v>
                </c:pt>
                <c:pt idx="1068">
                  <c:v>42.6</c:v>
                </c:pt>
                <c:pt idx="1069">
                  <c:v>42.7</c:v>
                </c:pt>
                <c:pt idx="1070">
                  <c:v>42.9</c:v>
                </c:pt>
                <c:pt idx="1071">
                  <c:v>43</c:v>
                </c:pt>
                <c:pt idx="1072">
                  <c:v>43.2</c:v>
                </c:pt>
                <c:pt idx="1073">
                  <c:v>43.4</c:v>
                </c:pt>
                <c:pt idx="1074">
                  <c:v>43.5</c:v>
                </c:pt>
                <c:pt idx="1075">
                  <c:v>43.7</c:v>
                </c:pt>
                <c:pt idx="1076">
                  <c:v>43.9</c:v>
                </c:pt>
                <c:pt idx="1077">
                  <c:v>44</c:v>
                </c:pt>
                <c:pt idx="1078">
                  <c:v>44.2</c:v>
                </c:pt>
                <c:pt idx="1079">
                  <c:v>44.4</c:v>
                </c:pt>
                <c:pt idx="1080">
                  <c:v>44.6</c:v>
                </c:pt>
                <c:pt idx="1081">
                  <c:v>44.8</c:v>
                </c:pt>
                <c:pt idx="1082">
                  <c:v>44.9</c:v>
                </c:pt>
                <c:pt idx="1083">
                  <c:v>45.1</c:v>
                </c:pt>
                <c:pt idx="1084">
                  <c:v>45.3</c:v>
                </c:pt>
                <c:pt idx="1085">
                  <c:v>45.5</c:v>
                </c:pt>
                <c:pt idx="1086">
                  <c:v>45.8</c:v>
                </c:pt>
                <c:pt idx="1087">
                  <c:v>46</c:v>
                </c:pt>
                <c:pt idx="1088">
                  <c:v>46.2</c:v>
                </c:pt>
                <c:pt idx="1089">
                  <c:v>46.4</c:v>
                </c:pt>
                <c:pt idx="1090">
                  <c:v>46.6</c:v>
                </c:pt>
                <c:pt idx="1091">
                  <c:v>46.9</c:v>
                </c:pt>
                <c:pt idx="1092">
                  <c:v>47.1</c:v>
                </c:pt>
                <c:pt idx="1093">
                  <c:v>47.4</c:v>
                </c:pt>
                <c:pt idx="1094">
                  <c:v>47.6</c:v>
                </c:pt>
                <c:pt idx="1095">
                  <c:v>47.9</c:v>
                </c:pt>
                <c:pt idx="1096">
                  <c:v>48.2</c:v>
                </c:pt>
                <c:pt idx="1097">
                  <c:v>48.5</c:v>
                </c:pt>
                <c:pt idx="1098">
                  <c:v>48.7</c:v>
                </c:pt>
                <c:pt idx="1099">
                  <c:v>49</c:v>
                </c:pt>
                <c:pt idx="1100">
                  <c:v>49.4</c:v>
                </c:pt>
                <c:pt idx="1101">
                  <c:v>49.7</c:v>
                </c:pt>
                <c:pt idx="1102">
                  <c:v>50</c:v>
                </c:pt>
                <c:pt idx="1103">
                  <c:v>50.3</c:v>
                </c:pt>
                <c:pt idx="1104">
                  <c:v>50.7</c:v>
                </c:pt>
                <c:pt idx="1105">
                  <c:v>51</c:v>
                </c:pt>
                <c:pt idx="1106">
                  <c:v>51.4</c:v>
                </c:pt>
                <c:pt idx="1107">
                  <c:v>51.8</c:v>
                </c:pt>
                <c:pt idx="1108">
                  <c:v>52.2</c:v>
                </c:pt>
                <c:pt idx="1109">
                  <c:v>52.6</c:v>
                </c:pt>
                <c:pt idx="1110">
                  <c:v>53</c:v>
                </c:pt>
                <c:pt idx="1111">
                  <c:v>53.5</c:v>
                </c:pt>
                <c:pt idx="1112">
                  <c:v>54</c:v>
                </c:pt>
                <c:pt idx="1113">
                  <c:v>54.4</c:v>
                </c:pt>
                <c:pt idx="1114">
                  <c:v>54.9</c:v>
                </c:pt>
                <c:pt idx="1115">
                  <c:v>55.5</c:v>
                </c:pt>
                <c:pt idx="1116">
                  <c:v>56</c:v>
                </c:pt>
                <c:pt idx="1117">
                  <c:v>56.6</c:v>
                </c:pt>
                <c:pt idx="1118">
                  <c:v>57.1</c:v>
                </c:pt>
                <c:pt idx="1119">
                  <c:v>57.8</c:v>
                </c:pt>
                <c:pt idx="1120">
                  <c:v>58.4</c:v>
                </c:pt>
                <c:pt idx="1121">
                  <c:v>59.1</c:v>
                </c:pt>
                <c:pt idx="1122">
                  <c:v>59.8</c:v>
                </c:pt>
                <c:pt idx="1123">
                  <c:v>60.5</c:v>
                </c:pt>
                <c:pt idx="1124">
                  <c:v>61.2</c:v>
                </c:pt>
                <c:pt idx="1125">
                  <c:v>62</c:v>
                </c:pt>
                <c:pt idx="1126">
                  <c:v>62.9</c:v>
                </c:pt>
                <c:pt idx="1127">
                  <c:v>63.8</c:v>
                </c:pt>
                <c:pt idx="1128">
                  <c:v>64.7</c:v>
                </c:pt>
                <c:pt idx="1129">
                  <c:v>65.7</c:v>
                </c:pt>
                <c:pt idx="1130">
                  <c:v>66.7</c:v>
                </c:pt>
                <c:pt idx="1131">
                  <c:v>67.8</c:v>
                </c:pt>
                <c:pt idx="1132">
                  <c:v>68.900000000000006</c:v>
                </c:pt>
                <c:pt idx="1133">
                  <c:v>70.099999999999994</c:v>
                </c:pt>
                <c:pt idx="1134">
                  <c:v>71.400000000000006</c:v>
                </c:pt>
                <c:pt idx="1135">
                  <c:v>72.7</c:v>
                </c:pt>
                <c:pt idx="1136">
                  <c:v>74.2</c:v>
                </c:pt>
                <c:pt idx="1137">
                  <c:v>75.7</c:v>
                </c:pt>
                <c:pt idx="1138">
                  <c:v>77.3</c:v>
                </c:pt>
                <c:pt idx="1139">
                  <c:v>79</c:v>
                </c:pt>
                <c:pt idx="1140">
                  <c:v>80.8</c:v>
                </c:pt>
                <c:pt idx="1141">
                  <c:v>82.7</c:v>
                </c:pt>
                <c:pt idx="1142">
                  <c:v>84.8</c:v>
                </c:pt>
                <c:pt idx="1143">
                  <c:v>87</c:v>
                </c:pt>
                <c:pt idx="1144">
                  <c:v>89.4</c:v>
                </c:pt>
                <c:pt idx="1145">
                  <c:v>91.9</c:v>
                </c:pt>
                <c:pt idx="1146">
                  <c:v>94.6</c:v>
                </c:pt>
                <c:pt idx="1147">
                  <c:v>97.4</c:v>
                </c:pt>
                <c:pt idx="1148">
                  <c:v>100.5</c:v>
                </c:pt>
                <c:pt idx="1149">
                  <c:v>103.9</c:v>
                </c:pt>
                <c:pt idx="1150">
                  <c:v>107.4</c:v>
                </c:pt>
                <c:pt idx="1151">
                  <c:v>111.3</c:v>
                </c:pt>
                <c:pt idx="1152">
                  <c:v>115.4</c:v>
                </c:pt>
                <c:pt idx="1153">
                  <c:v>119.8</c:v>
                </c:pt>
                <c:pt idx="1154">
                  <c:v>124.6</c:v>
                </c:pt>
                <c:pt idx="1155">
                  <c:v>129.80000000000001</c:v>
                </c:pt>
                <c:pt idx="1156">
                  <c:v>135.30000000000001</c:v>
                </c:pt>
                <c:pt idx="1157">
                  <c:v>141.30000000000001</c:v>
                </c:pt>
                <c:pt idx="1158">
                  <c:v>147.69999999999999</c:v>
                </c:pt>
                <c:pt idx="1159">
                  <c:v>154.5</c:v>
                </c:pt>
                <c:pt idx="1160">
                  <c:v>161.80000000000001</c:v>
                </c:pt>
                <c:pt idx="1161">
                  <c:v>169.6</c:v>
                </c:pt>
                <c:pt idx="1162">
                  <c:v>177.9</c:v>
                </c:pt>
                <c:pt idx="1163">
                  <c:v>186.6</c:v>
                </c:pt>
                <c:pt idx="1164">
                  <c:v>195.6</c:v>
                </c:pt>
                <c:pt idx="1165">
                  <c:v>205</c:v>
                </c:pt>
                <c:pt idx="1166">
                  <c:v>214.5</c:v>
                </c:pt>
                <c:pt idx="1167">
                  <c:v>224</c:v>
                </c:pt>
                <c:pt idx="1168">
                  <c:v>233.2</c:v>
                </c:pt>
                <c:pt idx="1169">
                  <c:v>242</c:v>
                </c:pt>
                <c:pt idx="1170">
                  <c:v>250</c:v>
                </c:pt>
                <c:pt idx="1171">
                  <c:v>257</c:v>
                </c:pt>
                <c:pt idx="1172">
                  <c:v>262.8</c:v>
                </c:pt>
                <c:pt idx="1173">
                  <c:v>267.10000000000002</c:v>
                </c:pt>
                <c:pt idx="1174">
                  <c:v>270.10000000000002</c:v>
                </c:pt>
                <c:pt idx="1175">
                  <c:v>271.89999999999998</c:v>
                </c:pt>
                <c:pt idx="1176">
                  <c:v>272.8</c:v>
                </c:pt>
                <c:pt idx="1177">
                  <c:v>273.2</c:v>
                </c:pt>
                <c:pt idx="1178">
                  <c:v>273.2</c:v>
                </c:pt>
                <c:pt idx="1179">
                  <c:v>272.8</c:v>
                </c:pt>
                <c:pt idx="1180">
                  <c:v>271.89999999999998</c:v>
                </c:pt>
                <c:pt idx="1181">
                  <c:v>270.2</c:v>
                </c:pt>
                <c:pt idx="1182">
                  <c:v>267.2</c:v>
                </c:pt>
                <c:pt idx="1183">
                  <c:v>262.89999999999998</c:v>
                </c:pt>
                <c:pt idx="1184">
                  <c:v>257.3</c:v>
                </c:pt>
                <c:pt idx="1185">
                  <c:v>250.4</c:v>
                </c:pt>
                <c:pt idx="1186">
                  <c:v>242.5</c:v>
                </c:pt>
                <c:pt idx="1187">
                  <c:v>233.8</c:v>
                </c:pt>
                <c:pt idx="1188">
                  <c:v>224.7</c:v>
                </c:pt>
                <c:pt idx="1189">
                  <c:v>215.3</c:v>
                </c:pt>
                <c:pt idx="1190">
                  <c:v>206</c:v>
                </c:pt>
              </c:numCache>
            </c:numRef>
          </c:yVal>
          <c:smooth val="1"/>
          <c:extLst>
            <c:ext xmlns:c16="http://schemas.microsoft.com/office/drawing/2014/chart" uri="{C3380CC4-5D6E-409C-BE32-E72D297353CC}">
              <c16:uniqueId val="{00000002-890F-454E-AC32-BA600AE94D3A}"/>
            </c:ext>
          </c:extLst>
        </c:ser>
        <c:dLbls>
          <c:showLegendKey val="0"/>
          <c:showVal val="0"/>
          <c:showCatName val="0"/>
          <c:showSerName val="0"/>
          <c:showPercent val="0"/>
          <c:showBubbleSize val="0"/>
        </c:dLbls>
        <c:axId val="-2112370216"/>
        <c:axId val="-2107469800"/>
      </c:scatterChart>
      <c:valAx>
        <c:axId val="-2112370216"/>
        <c:scaling>
          <c:orientation val="minMax"/>
          <c:max val="120"/>
          <c:min val="0"/>
        </c:scaling>
        <c:delete val="0"/>
        <c:axPos val="b"/>
        <c:majorGridlines/>
        <c:title>
          <c:tx>
            <c:rich>
              <a:bodyPr/>
              <a:lstStyle/>
              <a:p>
                <a:pPr>
                  <a:defRPr sz="1600"/>
                </a:pPr>
                <a:r>
                  <a:rPr lang="en-US" sz="1600"/>
                  <a:t>Frequency, GHz</a:t>
                </a:r>
              </a:p>
            </c:rich>
          </c:tx>
          <c:layout>
            <c:manualLayout>
              <c:xMode val="edge"/>
              <c:yMode val="edge"/>
              <c:x val="0.39077235954218953"/>
              <c:y val="0.93295817135734793"/>
            </c:manualLayout>
          </c:layout>
          <c:overlay val="0"/>
        </c:title>
        <c:numFmt formatCode="0" sourceLinked="0"/>
        <c:majorTickMark val="out"/>
        <c:minorTickMark val="in"/>
        <c:tickLblPos val="nextTo"/>
        <c:spPr>
          <a:ln/>
        </c:spPr>
        <c:txPr>
          <a:bodyPr/>
          <a:lstStyle/>
          <a:p>
            <a:pPr>
              <a:defRPr sz="1400" b="1" i="0" baseline="0"/>
            </a:pPr>
            <a:endParaRPr lang="en-US"/>
          </a:p>
        </c:txPr>
        <c:crossAx val="-2107469800"/>
        <c:crosses val="autoZero"/>
        <c:crossBetween val="midCat"/>
        <c:majorUnit val="10"/>
        <c:minorUnit val="5"/>
      </c:valAx>
      <c:valAx>
        <c:axId val="-2107469800"/>
        <c:scaling>
          <c:orientation val="minMax"/>
          <c:max val="300"/>
        </c:scaling>
        <c:delete val="0"/>
        <c:axPos val="l"/>
        <c:majorGridlines/>
        <c:numFmt formatCode="General" sourceLinked="1"/>
        <c:majorTickMark val="out"/>
        <c:minorTickMark val="none"/>
        <c:tickLblPos val="nextTo"/>
        <c:txPr>
          <a:bodyPr/>
          <a:lstStyle/>
          <a:p>
            <a:pPr>
              <a:defRPr sz="1400" b="1" i="0" baseline="0"/>
            </a:pPr>
            <a:endParaRPr lang="en-US"/>
          </a:p>
        </c:txPr>
        <c:crossAx val="-2112370216"/>
        <c:crosses val="autoZero"/>
        <c:crossBetween val="midCat"/>
      </c:valAx>
    </c:plotArea>
    <c:legend>
      <c:legendPos val="r"/>
      <c:layout>
        <c:manualLayout>
          <c:xMode val="edge"/>
          <c:yMode val="edge"/>
          <c:x val="0.12658831345748808"/>
          <c:y val="9.9711319731752998E-2"/>
          <c:w val="9.2640654844415846E-2"/>
          <c:h val="0.21126255865398341"/>
        </c:manualLayout>
      </c:layout>
      <c:overlay val="0"/>
      <c:spPr>
        <a:solidFill>
          <a:schemeClr val="bg1"/>
        </a:solidFill>
      </c:spPr>
      <c:txPr>
        <a:bodyPr/>
        <a:lstStyle/>
        <a:p>
          <a:pPr>
            <a:defRPr sz="1400" b="1" i="0"/>
          </a:pPr>
          <a:endParaRPr lang="en-US"/>
        </a:p>
      </c:txPr>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Tatm for VLA Site, 60 deg. Elevation</a:t>
            </a:r>
          </a:p>
        </c:rich>
      </c:tx>
      <c:layout>
        <c:manualLayout>
          <c:xMode val="edge"/>
          <c:yMode val="edge"/>
          <c:x val="0.29683616530984264"/>
          <c:y val="0"/>
        </c:manualLayout>
      </c:layout>
      <c:overlay val="0"/>
    </c:title>
    <c:autoTitleDeleted val="0"/>
    <c:plotArea>
      <c:layout>
        <c:manualLayout>
          <c:layoutTarget val="inner"/>
          <c:xMode val="edge"/>
          <c:yMode val="edge"/>
          <c:x val="6.9044735917186781E-2"/>
          <c:y val="7.4002748014091985E-2"/>
          <c:w val="0.88555754464972514"/>
          <c:h val="0.78411882452331705"/>
        </c:manualLayout>
      </c:layout>
      <c:scatterChart>
        <c:scatterStyle val="smoothMarker"/>
        <c:varyColors val="0"/>
        <c:ser>
          <c:idx val="3"/>
          <c:order val="0"/>
          <c:tx>
            <c:strRef>
              <c:f>Tatm!$E$5</c:f>
              <c:strCache>
                <c:ptCount val="1"/>
                <c:pt idx="0">
                  <c:v>1</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Tatm!$E$6:$E$1196</c:f>
              <c:numCache>
                <c:formatCode>General</c:formatCode>
                <c:ptCount val="1191"/>
                <c:pt idx="0">
                  <c:v>4.0999999999999996</c:v>
                </c:pt>
                <c:pt idx="1">
                  <c:v>4.0999999999999996</c:v>
                </c:pt>
                <c:pt idx="2">
                  <c:v>4.0999999999999996</c:v>
                </c:pt>
                <c:pt idx="3">
                  <c:v>4.0999999999999996</c:v>
                </c:pt>
                <c:pt idx="4">
                  <c:v>4.0999999999999996</c:v>
                </c:pt>
                <c:pt idx="5">
                  <c:v>4.2</c:v>
                </c:pt>
                <c:pt idx="6">
                  <c:v>4.2</c:v>
                </c:pt>
                <c:pt idx="7">
                  <c:v>4.2</c:v>
                </c:pt>
                <c:pt idx="8">
                  <c:v>4.2</c:v>
                </c:pt>
                <c:pt idx="9">
                  <c:v>4.2</c:v>
                </c:pt>
                <c:pt idx="10">
                  <c:v>4.2</c:v>
                </c:pt>
                <c:pt idx="11">
                  <c:v>4.2</c:v>
                </c:pt>
                <c:pt idx="12">
                  <c:v>4.2</c:v>
                </c:pt>
                <c:pt idx="13">
                  <c:v>4.2</c:v>
                </c:pt>
                <c:pt idx="14">
                  <c:v>4.2</c:v>
                </c:pt>
                <c:pt idx="15">
                  <c:v>4.2</c:v>
                </c:pt>
                <c:pt idx="16">
                  <c:v>4.2</c:v>
                </c:pt>
                <c:pt idx="17">
                  <c:v>4.2</c:v>
                </c:pt>
                <c:pt idx="18">
                  <c:v>4.2</c:v>
                </c:pt>
                <c:pt idx="19">
                  <c:v>4.2</c:v>
                </c:pt>
                <c:pt idx="20">
                  <c:v>4.2</c:v>
                </c:pt>
                <c:pt idx="21">
                  <c:v>4.2</c:v>
                </c:pt>
                <c:pt idx="22">
                  <c:v>4.2</c:v>
                </c:pt>
                <c:pt idx="23">
                  <c:v>4.2</c:v>
                </c:pt>
                <c:pt idx="24">
                  <c:v>4.2</c:v>
                </c:pt>
                <c:pt idx="25">
                  <c:v>4.2</c:v>
                </c:pt>
                <c:pt idx="26">
                  <c:v>4.2</c:v>
                </c:pt>
                <c:pt idx="27">
                  <c:v>4.2</c:v>
                </c:pt>
                <c:pt idx="28">
                  <c:v>4.2</c:v>
                </c:pt>
                <c:pt idx="29">
                  <c:v>4.2</c:v>
                </c:pt>
                <c:pt idx="30">
                  <c:v>4.2</c:v>
                </c:pt>
                <c:pt idx="31">
                  <c:v>4.2</c:v>
                </c:pt>
                <c:pt idx="32">
                  <c:v>4.2</c:v>
                </c:pt>
                <c:pt idx="33">
                  <c:v>4.3</c:v>
                </c:pt>
                <c:pt idx="34">
                  <c:v>4.3</c:v>
                </c:pt>
                <c:pt idx="35">
                  <c:v>4.3</c:v>
                </c:pt>
                <c:pt idx="36">
                  <c:v>4.3</c:v>
                </c:pt>
                <c:pt idx="37">
                  <c:v>4.3</c:v>
                </c:pt>
                <c:pt idx="38">
                  <c:v>4.3</c:v>
                </c:pt>
                <c:pt idx="39">
                  <c:v>4.3</c:v>
                </c:pt>
                <c:pt idx="40">
                  <c:v>4.3</c:v>
                </c:pt>
                <c:pt idx="41">
                  <c:v>4.3</c:v>
                </c:pt>
                <c:pt idx="42">
                  <c:v>4.3</c:v>
                </c:pt>
                <c:pt idx="43">
                  <c:v>4.3</c:v>
                </c:pt>
                <c:pt idx="44">
                  <c:v>4.3</c:v>
                </c:pt>
                <c:pt idx="45">
                  <c:v>4.3</c:v>
                </c:pt>
                <c:pt idx="46">
                  <c:v>4.3</c:v>
                </c:pt>
                <c:pt idx="47">
                  <c:v>4.3</c:v>
                </c:pt>
                <c:pt idx="48">
                  <c:v>4.3</c:v>
                </c:pt>
                <c:pt idx="49">
                  <c:v>4.3</c:v>
                </c:pt>
                <c:pt idx="50">
                  <c:v>4.3</c:v>
                </c:pt>
                <c:pt idx="51">
                  <c:v>4.3</c:v>
                </c:pt>
                <c:pt idx="52">
                  <c:v>4.3</c:v>
                </c:pt>
                <c:pt idx="53">
                  <c:v>4.3</c:v>
                </c:pt>
                <c:pt idx="54">
                  <c:v>4.3</c:v>
                </c:pt>
                <c:pt idx="55">
                  <c:v>4.3</c:v>
                </c:pt>
                <c:pt idx="56">
                  <c:v>4.3</c:v>
                </c:pt>
                <c:pt idx="57">
                  <c:v>4.3</c:v>
                </c:pt>
                <c:pt idx="58">
                  <c:v>4.3</c:v>
                </c:pt>
                <c:pt idx="59">
                  <c:v>4.3</c:v>
                </c:pt>
                <c:pt idx="60">
                  <c:v>4.3</c:v>
                </c:pt>
                <c:pt idx="61">
                  <c:v>4.3</c:v>
                </c:pt>
                <c:pt idx="62">
                  <c:v>4.3</c:v>
                </c:pt>
                <c:pt idx="63">
                  <c:v>4.3</c:v>
                </c:pt>
                <c:pt idx="64">
                  <c:v>4.3</c:v>
                </c:pt>
                <c:pt idx="65">
                  <c:v>4.3</c:v>
                </c:pt>
                <c:pt idx="66">
                  <c:v>4.3</c:v>
                </c:pt>
                <c:pt idx="67">
                  <c:v>4.3</c:v>
                </c:pt>
                <c:pt idx="68">
                  <c:v>4.3</c:v>
                </c:pt>
                <c:pt idx="69">
                  <c:v>4.4000000000000004</c:v>
                </c:pt>
                <c:pt idx="70">
                  <c:v>4.4000000000000004</c:v>
                </c:pt>
                <c:pt idx="71">
                  <c:v>4.4000000000000004</c:v>
                </c:pt>
                <c:pt idx="72">
                  <c:v>4.4000000000000004</c:v>
                </c:pt>
                <c:pt idx="73">
                  <c:v>4.4000000000000004</c:v>
                </c:pt>
                <c:pt idx="74">
                  <c:v>4.4000000000000004</c:v>
                </c:pt>
                <c:pt idx="75">
                  <c:v>4.4000000000000004</c:v>
                </c:pt>
                <c:pt idx="76">
                  <c:v>4.4000000000000004</c:v>
                </c:pt>
                <c:pt idx="77">
                  <c:v>4.4000000000000004</c:v>
                </c:pt>
                <c:pt idx="78">
                  <c:v>4.4000000000000004</c:v>
                </c:pt>
                <c:pt idx="79">
                  <c:v>4.4000000000000004</c:v>
                </c:pt>
                <c:pt idx="80">
                  <c:v>4.4000000000000004</c:v>
                </c:pt>
                <c:pt idx="81">
                  <c:v>4.4000000000000004</c:v>
                </c:pt>
                <c:pt idx="82">
                  <c:v>4.4000000000000004</c:v>
                </c:pt>
                <c:pt idx="83">
                  <c:v>4.4000000000000004</c:v>
                </c:pt>
                <c:pt idx="84">
                  <c:v>4.4000000000000004</c:v>
                </c:pt>
                <c:pt idx="85">
                  <c:v>4.4000000000000004</c:v>
                </c:pt>
                <c:pt idx="86">
                  <c:v>4.4000000000000004</c:v>
                </c:pt>
                <c:pt idx="87">
                  <c:v>4.4000000000000004</c:v>
                </c:pt>
                <c:pt idx="88">
                  <c:v>4.4000000000000004</c:v>
                </c:pt>
                <c:pt idx="89">
                  <c:v>4.4000000000000004</c:v>
                </c:pt>
                <c:pt idx="90">
                  <c:v>4.4000000000000004</c:v>
                </c:pt>
                <c:pt idx="91">
                  <c:v>4.4000000000000004</c:v>
                </c:pt>
                <c:pt idx="92">
                  <c:v>4.4000000000000004</c:v>
                </c:pt>
                <c:pt idx="93">
                  <c:v>4.4000000000000004</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4.5999999999999996</c:v>
                </c:pt>
                <c:pt idx="113">
                  <c:v>4.5999999999999996</c:v>
                </c:pt>
                <c:pt idx="114">
                  <c:v>4.5999999999999996</c:v>
                </c:pt>
                <c:pt idx="115">
                  <c:v>4.5999999999999996</c:v>
                </c:pt>
                <c:pt idx="116">
                  <c:v>4.5999999999999996</c:v>
                </c:pt>
                <c:pt idx="117">
                  <c:v>4.5999999999999996</c:v>
                </c:pt>
                <c:pt idx="118">
                  <c:v>4.5999999999999996</c:v>
                </c:pt>
                <c:pt idx="119">
                  <c:v>4.5999999999999996</c:v>
                </c:pt>
                <c:pt idx="120">
                  <c:v>4.5999999999999996</c:v>
                </c:pt>
                <c:pt idx="121">
                  <c:v>4.5999999999999996</c:v>
                </c:pt>
                <c:pt idx="122">
                  <c:v>4.5999999999999996</c:v>
                </c:pt>
                <c:pt idx="123">
                  <c:v>4.5999999999999996</c:v>
                </c:pt>
                <c:pt idx="124">
                  <c:v>4.5999999999999996</c:v>
                </c:pt>
                <c:pt idx="125">
                  <c:v>4.5999999999999996</c:v>
                </c:pt>
                <c:pt idx="126">
                  <c:v>4.7</c:v>
                </c:pt>
                <c:pt idx="127">
                  <c:v>4.7</c:v>
                </c:pt>
                <c:pt idx="128">
                  <c:v>4.7</c:v>
                </c:pt>
                <c:pt idx="129">
                  <c:v>4.7</c:v>
                </c:pt>
                <c:pt idx="130">
                  <c:v>4.7</c:v>
                </c:pt>
                <c:pt idx="131">
                  <c:v>4.7</c:v>
                </c:pt>
                <c:pt idx="132">
                  <c:v>4.7</c:v>
                </c:pt>
                <c:pt idx="133">
                  <c:v>4.7</c:v>
                </c:pt>
                <c:pt idx="134">
                  <c:v>4.7</c:v>
                </c:pt>
                <c:pt idx="135">
                  <c:v>4.7</c:v>
                </c:pt>
                <c:pt idx="136">
                  <c:v>4.7</c:v>
                </c:pt>
                <c:pt idx="137">
                  <c:v>4.7</c:v>
                </c:pt>
                <c:pt idx="138">
                  <c:v>4.8</c:v>
                </c:pt>
                <c:pt idx="139">
                  <c:v>4.8</c:v>
                </c:pt>
                <c:pt idx="140">
                  <c:v>4.8</c:v>
                </c:pt>
                <c:pt idx="141">
                  <c:v>4.8</c:v>
                </c:pt>
                <c:pt idx="142">
                  <c:v>4.8</c:v>
                </c:pt>
                <c:pt idx="143">
                  <c:v>4.8</c:v>
                </c:pt>
                <c:pt idx="144">
                  <c:v>4.8</c:v>
                </c:pt>
                <c:pt idx="145">
                  <c:v>4.8</c:v>
                </c:pt>
                <c:pt idx="146">
                  <c:v>4.8</c:v>
                </c:pt>
                <c:pt idx="147">
                  <c:v>4.8</c:v>
                </c:pt>
                <c:pt idx="148">
                  <c:v>4.9000000000000004</c:v>
                </c:pt>
                <c:pt idx="149">
                  <c:v>4.9000000000000004</c:v>
                </c:pt>
                <c:pt idx="150">
                  <c:v>4.9000000000000004</c:v>
                </c:pt>
                <c:pt idx="151">
                  <c:v>4.9000000000000004</c:v>
                </c:pt>
                <c:pt idx="152">
                  <c:v>4.9000000000000004</c:v>
                </c:pt>
                <c:pt idx="153">
                  <c:v>4.9000000000000004</c:v>
                </c:pt>
                <c:pt idx="154">
                  <c:v>4.9000000000000004</c:v>
                </c:pt>
                <c:pt idx="155">
                  <c:v>4.9000000000000004</c:v>
                </c:pt>
                <c:pt idx="156">
                  <c:v>5</c:v>
                </c:pt>
                <c:pt idx="157">
                  <c:v>5</c:v>
                </c:pt>
                <c:pt idx="158">
                  <c:v>5</c:v>
                </c:pt>
                <c:pt idx="159">
                  <c:v>5</c:v>
                </c:pt>
                <c:pt idx="160">
                  <c:v>5</c:v>
                </c:pt>
                <c:pt idx="161">
                  <c:v>5</c:v>
                </c:pt>
                <c:pt idx="162">
                  <c:v>5</c:v>
                </c:pt>
                <c:pt idx="163">
                  <c:v>5.0999999999999996</c:v>
                </c:pt>
                <c:pt idx="164">
                  <c:v>5.0999999999999996</c:v>
                </c:pt>
                <c:pt idx="165">
                  <c:v>5.0999999999999996</c:v>
                </c:pt>
                <c:pt idx="166">
                  <c:v>5.0999999999999996</c:v>
                </c:pt>
                <c:pt idx="167">
                  <c:v>5.0999999999999996</c:v>
                </c:pt>
                <c:pt idx="168">
                  <c:v>5.2</c:v>
                </c:pt>
                <c:pt idx="169">
                  <c:v>5.2</c:v>
                </c:pt>
                <c:pt idx="170">
                  <c:v>5.2</c:v>
                </c:pt>
                <c:pt idx="171">
                  <c:v>5.2</c:v>
                </c:pt>
                <c:pt idx="172">
                  <c:v>5.2</c:v>
                </c:pt>
                <c:pt idx="173">
                  <c:v>5.3</c:v>
                </c:pt>
                <c:pt idx="174">
                  <c:v>5.3</c:v>
                </c:pt>
                <c:pt idx="175">
                  <c:v>5.3</c:v>
                </c:pt>
                <c:pt idx="176">
                  <c:v>5.3</c:v>
                </c:pt>
                <c:pt idx="177">
                  <c:v>5.4</c:v>
                </c:pt>
                <c:pt idx="178">
                  <c:v>5.4</c:v>
                </c:pt>
                <c:pt idx="179">
                  <c:v>5.4</c:v>
                </c:pt>
                <c:pt idx="180">
                  <c:v>5.5</c:v>
                </c:pt>
                <c:pt idx="181">
                  <c:v>5.5</c:v>
                </c:pt>
                <c:pt idx="182">
                  <c:v>5.5</c:v>
                </c:pt>
                <c:pt idx="183">
                  <c:v>5.6</c:v>
                </c:pt>
                <c:pt idx="184">
                  <c:v>5.6</c:v>
                </c:pt>
                <c:pt idx="185">
                  <c:v>5.7</c:v>
                </c:pt>
                <c:pt idx="186">
                  <c:v>5.7</c:v>
                </c:pt>
                <c:pt idx="187">
                  <c:v>5.7</c:v>
                </c:pt>
                <c:pt idx="188">
                  <c:v>5.8</c:v>
                </c:pt>
                <c:pt idx="189">
                  <c:v>5.8</c:v>
                </c:pt>
                <c:pt idx="190">
                  <c:v>5.9</c:v>
                </c:pt>
                <c:pt idx="191">
                  <c:v>6</c:v>
                </c:pt>
                <c:pt idx="192">
                  <c:v>6</c:v>
                </c:pt>
                <c:pt idx="193">
                  <c:v>6.1</c:v>
                </c:pt>
                <c:pt idx="194">
                  <c:v>6.1</c:v>
                </c:pt>
                <c:pt idx="195">
                  <c:v>6.2</c:v>
                </c:pt>
                <c:pt idx="196">
                  <c:v>6.3</c:v>
                </c:pt>
                <c:pt idx="197">
                  <c:v>6.4</c:v>
                </c:pt>
                <c:pt idx="198">
                  <c:v>6.5</c:v>
                </c:pt>
                <c:pt idx="199">
                  <c:v>6.5</c:v>
                </c:pt>
                <c:pt idx="200">
                  <c:v>6.6</c:v>
                </c:pt>
                <c:pt idx="201">
                  <c:v>6.7</c:v>
                </c:pt>
                <c:pt idx="202">
                  <c:v>6.8</c:v>
                </c:pt>
                <c:pt idx="203">
                  <c:v>6.9</c:v>
                </c:pt>
                <c:pt idx="204">
                  <c:v>7</c:v>
                </c:pt>
                <c:pt idx="205">
                  <c:v>7.1</c:v>
                </c:pt>
                <c:pt idx="206">
                  <c:v>7.2</c:v>
                </c:pt>
                <c:pt idx="207">
                  <c:v>7.3</c:v>
                </c:pt>
                <c:pt idx="208">
                  <c:v>7.4</c:v>
                </c:pt>
                <c:pt idx="209">
                  <c:v>7.4</c:v>
                </c:pt>
                <c:pt idx="210">
                  <c:v>7.5</c:v>
                </c:pt>
                <c:pt idx="211">
                  <c:v>7.6</c:v>
                </c:pt>
                <c:pt idx="212">
                  <c:v>7.6</c:v>
                </c:pt>
                <c:pt idx="213">
                  <c:v>7.7</c:v>
                </c:pt>
                <c:pt idx="214">
                  <c:v>7.7</c:v>
                </c:pt>
                <c:pt idx="215">
                  <c:v>7.7</c:v>
                </c:pt>
                <c:pt idx="216">
                  <c:v>7.7</c:v>
                </c:pt>
                <c:pt idx="217">
                  <c:v>7.6</c:v>
                </c:pt>
                <c:pt idx="218">
                  <c:v>7.6</c:v>
                </c:pt>
                <c:pt idx="219">
                  <c:v>7.6</c:v>
                </c:pt>
                <c:pt idx="220">
                  <c:v>7.5</c:v>
                </c:pt>
                <c:pt idx="221">
                  <c:v>7.5</c:v>
                </c:pt>
                <c:pt idx="222">
                  <c:v>7.4</c:v>
                </c:pt>
                <c:pt idx="223">
                  <c:v>7.4</c:v>
                </c:pt>
                <c:pt idx="224">
                  <c:v>7.3</c:v>
                </c:pt>
                <c:pt idx="225">
                  <c:v>7.3</c:v>
                </c:pt>
                <c:pt idx="226">
                  <c:v>7.2</c:v>
                </c:pt>
                <c:pt idx="227">
                  <c:v>7.2</c:v>
                </c:pt>
                <c:pt idx="228">
                  <c:v>7.1</c:v>
                </c:pt>
                <c:pt idx="229">
                  <c:v>7.1</c:v>
                </c:pt>
                <c:pt idx="230">
                  <c:v>7</c:v>
                </c:pt>
                <c:pt idx="231">
                  <c:v>7</c:v>
                </c:pt>
                <c:pt idx="232">
                  <c:v>7</c:v>
                </c:pt>
                <c:pt idx="233">
                  <c:v>6.9</c:v>
                </c:pt>
                <c:pt idx="234">
                  <c:v>6.9</c:v>
                </c:pt>
                <c:pt idx="235">
                  <c:v>6.9</c:v>
                </c:pt>
                <c:pt idx="236">
                  <c:v>6.8</c:v>
                </c:pt>
                <c:pt idx="237">
                  <c:v>6.8</c:v>
                </c:pt>
                <c:pt idx="238">
                  <c:v>6.8</c:v>
                </c:pt>
                <c:pt idx="239">
                  <c:v>6.8</c:v>
                </c:pt>
                <c:pt idx="240">
                  <c:v>6.8</c:v>
                </c:pt>
                <c:pt idx="241">
                  <c:v>6.7</c:v>
                </c:pt>
                <c:pt idx="242">
                  <c:v>6.7</c:v>
                </c:pt>
                <c:pt idx="243">
                  <c:v>6.7</c:v>
                </c:pt>
                <c:pt idx="244">
                  <c:v>6.7</c:v>
                </c:pt>
                <c:pt idx="245">
                  <c:v>6.7</c:v>
                </c:pt>
                <c:pt idx="246">
                  <c:v>6.7</c:v>
                </c:pt>
                <c:pt idx="247">
                  <c:v>6.7</c:v>
                </c:pt>
                <c:pt idx="248">
                  <c:v>6.7</c:v>
                </c:pt>
                <c:pt idx="249">
                  <c:v>6.7</c:v>
                </c:pt>
                <c:pt idx="250">
                  <c:v>6.7</c:v>
                </c:pt>
                <c:pt idx="251">
                  <c:v>6.7</c:v>
                </c:pt>
                <c:pt idx="252">
                  <c:v>6.7</c:v>
                </c:pt>
                <c:pt idx="253">
                  <c:v>6.7</c:v>
                </c:pt>
                <c:pt idx="254">
                  <c:v>6.7</c:v>
                </c:pt>
                <c:pt idx="255">
                  <c:v>6.7</c:v>
                </c:pt>
                <c:pt idx="256">
                  <c:v>6.7</c:v>
                </c:pt>
                <c:pt idx="257">
                  <c:v>6.7</c:v>
                </c:pt>
                <c:pt idx="258">
                  <c:v>6.7</c:v>
                </c:pt>
                <c:pt idx="259">
                  <c:v>6.7</c:v>
                </c:pt>
                <c:pt idx="260">
                  <c:v>6.7</c:v>
                </c:pt>
                <c:pt idx="261">
                  <c:v>6.7</c:v>
                </c:pt>
                <c:pt idx="262">
                  <c:v>6.7</c:v>
                </c:pt>
                <c:pt idx="263">
                  <c:v>6.7</c:v>
                </c:pt>
                <c:pt idx="264">
                  <c:v>6.8</c:v>
                </c:pt>
                <c:pt idx="265">
                  <c:v>6.8</c:v>
                </c:pt>
                <c:pt idx="266">
                  <c:v>6.8</c:v>
                </c:pt>
                <c:pt idx="267">
                  <c:v>6.8</c:v>
                </c:pt>
                <c:pt idx="268">
                  <c:v>6.8</c:v>
                </c:pt>
                <c:pt idx="269">
                  <c:v>6.8</c:v>
                </c:pt>
                <c:pt idx="270">
                  <c:v>6.8</c:v>
                </c:pt>
                <c:pt idx="271">
                  <c:v>6.9</c:v>
                </c:pt>
                <c:pt idx="272">
                  <c:v>6.9</c:v>
                </c:pt>
                <c:pt idx="273">
                  <c:v>6.9</c:v>
                </c:pt>
                <c:pt idx="274">
                  <c:v>6.9</c:v>
                </c:pt>
                <c:pt idx="275">
                  <c:v>6.9</c:v>
                </c:pt>
                <c:pt idx="276">
                  <c:v>6.9</c:v>
                </c:pt>
                <c:pt idx="277">
                  <c:v>7</c:v>
                </c:pt>
                <c:pt idx="278">
                  <c:v>7</c:v>
                </c:pt>
                <c:pt idx="279">
                  <c:v>7</c:v>
                </c:pt>
                <c:pt idx="280">
                  <c:v>7</c:v>
                </c:pt>
                <c:pt idx="281">
                  <c:v>7</c:v>
                </c:pt>
                <c:pt idx="282">
                  <c:v>7.1</c:v>
                </c:pt>
                <c:pt idx="283">
                  <c:v>7.1</c:v>
                </c:pt>
                <c:pt idx="284">
                  <c:v>7.1</c:v>
                </c:pt>
                <c:pt idx="285">
                  <c:v>7.1</c:v>
                </c:pt>
                <c:pt idx="286">
                  <c:v>7.2</c:v>
                </c:pt>
                <c:pt idx="287">
                  <c:v>7.2</c:v>
                </c:pt>
                <c:pt idx="288">
                  <c:v>7.2</c:v>
                </c:pt>
                <c:pt idx="289">
                  <c:v>7.2</c:v>
                </c:pt>
                <c:pt idx="290">
                  <c:v>7.2</c:v>
                </c:pt>
                <c:pt idx="291">
                  <c:v>7.3</c:v>
                </c:pt>
                <c:pt idx="292">
                  <c:v>7.3</c:v>
                </c:pt>
                <c:pt idx="293">
                  <c:v>7.3</c:v>
                </c:pt>
                <c:pt idx="294">
                  <c:v>7.4</c:v>
                </c:pt>
                <c:pt idx="295">
                  <c:v>7.4</c:v>
                </c:pt>
                <c:pt idx="296">
                  <c:v>7.4</c:v>
                </c:pt>
                <c:pt idx="297">
                  <c:v>7.4</c:v>
                </c:pt>
                <c:pt idx="298">
                  <c:v>7.5</c:v>
                </c:pt>
                <c:pt idx="299">
                  <c:v>7.5</c:v>
                </c:pt>
                <c:pt idx="300">
                  <c:v>7.5</c:v>
                </c:pt>
                <c:pt idx="301">
                  <c:v>7.6</c:v>
                </c:pt>
                <c:pt idx="302">
                  <c:v>7.6</c:v>
                </c:pt>
                <c:pt idx="303">
                  <c:v>7.6</c:v>
                </c:pt>
                <c:pt idx="304">
                  <c:v>7.6</c:v>
                </c:pt>
                <c:pt idx="305">
                  <c:v>7.7</c:v>
                </c:pt>
                <c:pt idx="306">
                  <c:v>7.7</c:v>
                </c:pt>
                <c:pt idx="307">
                  <c:v>7.7</c:v>
                </c:pt>
                <c:pt idx="308">
                  <c:v>7.8</c:v>
                </c:pt>
                <c:pt idx="309">
                  <c:v>7.8</c:v>
                </c:pt>
                <c:pt idx="310">
                  <c:v>7.8</c:v>
                </c:pt>
                <c:pt idx="311">
                  <c:v>7.9</c:v>
                </c:pt>
                <c:pt idx="312">
                  <c:v>7.9</c:v>
                </c:pt>
                <c:pt idx="313">
                  <c:v>8</c:v>
                </c:pt>
                <c:pt idx="314">
                  <c:v>8</c:v>
                </c:pt>
                <c:pt idx="315">
                  <c:v>8</c:v>
                </c:pt>
                <c:pt idx="316">
                  <c:v>8.1</c:v>
                </c:pt>
                <c:pt idx="317">
                  <c:v>8.1</c:v>
                </c:pt>
                <c:pt idx="318">
                  <c:v>8.1</c:v>
                </c:pt>
                <c:pt idx="319">
                  <c:v>8.1999999999999993</c:v>
                </c:pt>
                <c:pt idx="320">
                  <c:v>8.1999999999999993</c:v>
                </c:pt>
                <c:pt idx="321">
                  <c:v>8.3000000000000007</c:v>
                </c:pt>
                <c:pt idx="322">
                  <c:v>8.3000000000000007</c:v>
                </c:pt>
                <c:pt idx="323">
                  <c:v>8.3000000000000007</c:v>
                </c:pt>
                <c:pt idx="324">
                  <c:v>8.4</c:v>
                </c:pt>
                <c:pt idx="325">
                  <c:v>8.4</c:v>
                </c:pt>
                <c:pt idx="326">
                  <c:v>8.5</c:v>
                </c:pt>
                <c:pt idx="327">
                  <c:v>8.5</c:v>
                </c:pt>
                <c:pt idx="328">
                  <c:v>8.6</c:v>
                </c:pt>
                <c:pt idx="329">
                  <c:v>8.6</c:v>
                </c:pt>
                <c:pt idx="330">
                  <c:v>8.6</c:v>
                </c:pt>
                <c:pt idx="331">
                  <c:v>8.6999999999999993</c:v>
                </c:pt>
                <c:pt idx="332">
                  <c:v>8.6999999999999993</c:v>
                </c:pt>
                <c:pt idx="333">
                  <c:v>8.8000000000000007</c:v>
                </c:pt>
                <c:pt idx="334">
                  <c:v>8.8000000000000007</c:v>
                </c:pt>
                <c:pt idx="335">
                  <c:v>8.9</c:v>
                </c:pt>
                <c:pt idx="336">
                  <c:v>8.9</c:v>
                </c:pt>
                <c:pt idx="337">
                  <c:v>9</c:v>
                </c:pt>
                <c:pt idx="338">
                  <c:v>9</c:v>
                </c:pt>
                <c:pt idx="339">
                  <c:v>9.1</c:v>
                </c:pt>
                <c:pt idx="340">
                  <c:v>9.1</c:v>
                </c:pt>
                <c:pt idx="341">
                  <c:v>9.1999999999999993</c:v>
                </c:pt>
                <c:pt idx="342">
                  <c:v>9.1999999999999993</c:v>
                </c:pt>
                <c:pt idx="343">
                  <c:v>9.3000000000000007</c:v>
                </c:pt>
                <c:pt idx="344">
                  <c:v>9.3000000000000007</c:v>
                </c:pt>
                <c:pt idx="345">
                  <c:v>9.4</c:v>
                </c:pt>
                <c:pt idx="346">
                  <c:v>9.4</c:v>
                </c:pt>
                <c:pt idx="347">
                  <c:v>9.5</c:v>
                </c:pt>
                <c:pt idx="348">
                  <c:v>9.6</c:v>
                </c:pt>
                <c:pt idx="349">
                  <c:v>9.6</c:v>
                </c:pt>
                <c:pt idx="350">
                  <c:v>9.6999999999999993</c:v>
                </c:pt>
                <c:pt idx="351">
                  <c:v>9.6999999999999993</c:v>
                </c:pt>
                <c:pt idx="352">
                  <c:v>9.8000000000000007</c:v>
                </c:pt>
                <c:pt idx="353">
                  <c:v>9.9</c:v>
                </c:pt>
                <c:pt idx="354">
                  <c:v>9.9</c:v>
                </c:pt>
                <c:pt idx="355">
                  <c:v>10</c:v>
                </c:pt>
                <c:pt idx="356">
                  <c:v>10</c:v>
                </c:pt>
                <c:pt idx="357">
                  <c:v>10.1</c:v>
                </c:pt>
                <c:pt idx="358">
                  <c:v>10.199999999999999</c:v>
                </c:pt>
                <c:pt idx="359">
                  <c:v>10.199999999999999</c:v>
                </c:pt>
                <c:pt idx="360">
                  <c:v>10.3</c:v>
                </c:pt>
                <c:pt idx="361">
                  <c:v>10.4</c:v>
                </c:pt>
                <c:pt idx="362">
                  <c:v>10.4</c:v>
                </c:pt>
                <c:pt idx="363">
                  <c:v>10.5</c:v>
                </c:pt>
                <c:pt idx="364">
                  <c:v>10.6</c:v>
                </c:pt>
                <c:pt idx="365">
                  <c:v>10.7</c:v>
                </c:pt>
                <c:pt idx="366">
                  <c:v>10.7</c:v>
                </c:pt>
                <c:pt idx="367">
                  <c:v>10.8</c:v>
                </c:pt>
                <c:pt idx="368">
                  <c:v>10.9</c:v>
                </c:pt>
                <c:pt idx="369">
                  <c:v>11</c:v>
                </c:pt>
                <c:pt idx="370">
                  <c:v>11</c:v>
                </c:pt>
                <c:pt idx="371">
                  <c:v>11.1</c:v>
                </c:pt>
                <c:pt idx="372">
                  <c:v>11.2</c:v>
                </c:pt>
                <c:pt idx="373">
                  <c:v>11.3</c:v>
                </c:pt>
                <c:pt idx="374">
                  <c:v>11.4</c:v>
                </c:pt>
                <c:pt idx="375">
                  <c:v>11.5</c:v>
                </c:pt>
                <c:pt idx="376">
                  <c:v>11.5</c:v>
                </c:pt>
                <c:pt idx="377">
                  <c:v>11.6</c:v>
                </c:pt>
                <c:pt idx="378">
                  <c:v>11.7</c:v>
                </c:pt>
                <c:pt idx="379">
                  <c:v>11.8</c:v>
                </c:pt>
                <c:pt idx="380">
                  <c:v>11.9</c:v>
                </c:pt>
                <c:pt idx="381">
                  <c:v>12</c:v>
                </c:pt>
                <c:pt idx="382">
                  <c:v>12.1</c:v>
                </c:pt>
                <c:pt idx="383">
                  <c:v>12.2</c:v>
                </c:pt>
                <c:pt idx="384">
                  <c:v>12.3</c:v>
                </c:pt>
                <c:pt idx="385">
                  <c:v>12.4</c:v>
                </c:pt>
                <c:pt idx="386">
                  <c:v>12.5</c:v>
                </c:pt>
                <c:pt idx="387">
                  <c:v>12.6</c:v>
                </c:pt>
                <c:pt idx="388">
                  <c:v>12.7</c:v>
                </c:pt>
                <c:pt idx="389">
                  <c:v>12.8</c:v>
                </c:pt>
                <c:pt idx="390">
                  <c:v>12.9</c:v>
                </c:pt>
                <c:pt idx="391">
                  <c:v>13</c:v>
                </c:pt>
                <c:pt idx="392">
                  <c:v>13.1</c:v>
                </c:pt>
                <c:pt idx="393">
                  <c:v>13.2</c:v>
                </c:pt>
                <c:pt idx="394">
                  <c:v>13.3</c:v>
                </c:pt>
                <c:pt idx="395">
                  <c:v>13.4</c:v>
                </c:pt>
                <c:pt idx="396">
                  <c:v>13.6</c:v>
                </c:pt>
                <c:pt idx="397">
                  <c:v>13.7</c:v>
                </c:pt>
                <c:pt idx="398">
                  <c:v>13.8</c:v>
                </c:pt>
                <c:pt idx="399">
                  <c:v>13.9</c:v>
                </c:pt>
                <c:pt idx="400">
                  <c:v>14.1</c:v>
                </c:pt>
                <c:pt idx="401">
                  <c:v>14.2</c:v>
                </c:pt>
                <c:pt idx="402">
                  <c:v>14.3</c:v>
                </c:pt>
                <c:pt idx="403">
                  <c:v>14.4</c:v>
                </c:pt>
                <c:pt idx="404">
                  <c:v>14.6</c:v>
                </c:pt>
                <c:pt idx="405">
                  <c:v>14.7</c:v>
                </c:pt>
                <c:pt idx="406">
                  <c:v>14.9</c:v>
                </c:pt>
                <c:pt idx="407">
                  <c:v>15</c:v>
                </c:pt>
                <c:pt idx="408">
                  <c:v>15.1</c:v>
                </c:pt>
                <c:pt idx="409">
                  <c:v>15.3</c:v>
                </c:pt>
                <c:pt idx="410">
                  <c:v>15.4</c:v>
                </c:pt>
                <c:pt idx="411">
                  <c:v>15.6</c:v>
                </c:pt>
                <c:pt idx="412">
                  <c:v>15.7</c:v>
                </c:pt>
                <c:pt idx="413">
                  <c:v>15.9</c:v>
                </c:pt>
                <c:pt idx="414">
                  <c:v>16.100000000000001</c:v>
                </c:pt>
                <c:pt idx="415">
                  <c:v>16.2</c:v>
                </c:pt>
                <c:pt idx="416">
                  <c:v>16.399999999999999</c:v>
                </c:pt>
                <c:pt idx="417">
                  <c:v>16.600000000000001</c:v>
                </c:pt>
                <c:pt idx="418">
                  <c:v>16.7</c:v>
                </c:pt>
                <c:pt idx="419">
                  <c:v>16.899999999999999</c:v>
                </c:pt>
                <c:pt idx="420">
                  <c:v>17.100000000000001</c:v>
                </c:pt>
                <c:pt idx="421">
                  <c:v>17.3</c:v>
                </c:pt>
                <c:pt idx="422">
                  <c:v>17.5</c:v>
                </c:pt>
                <c:pt idx="423">
                  <c:v>17.7</c:v>
                </c:pt>
                <c:pt idx="424">
                  <c:v>17.899999999999999</c:v>
                </c:pt>
                <c:pt idx="425">
                  <c:v>18.100000000000001</c:v>
                </c:pt>
                <c:pt idx="426">
                  <c:v>18.3</c:v>
                </c:pt>
                <c:pt idx="427">
                  <c:v>18.5</c:v>
                </c:pt>
                <c:pt idx="428">
                  <c:v>18.7</c:v>
                </c:pt>
                <c:pt idx="429">
                  <c:v>18.899999999999999</c:v>
                </c:pt>
                <c:pt idx="430">
                  <c:v>19.100000000000001</c:v>
                </c:pt>
                <c:pt idx="431">
                  <c:v>19.3</c:v>
                </c:pt>
                <c:pt idx="432">
                  <c:v>19.600000000000001</c:v>
                </c:pt>
                <c:pt idx="433">
                  <c:v>19.8</c:v>
                </c:pt>
                <c:pt idx="434">
                  <c:v>20</c:v>
                </c:pt>
                <c:pt idx="435">
                  <c:v>20.3</c:v>
                </c:pt>
                <c:pt idx="436">
                  <c:v>20.5</c:v>
                </c:pt>
                <c:pt idx="437">
                  <c:v>20.8</c:v>
                </c:pt>
                <c:pt idx="438">
                  <c:v>21.1</c:v>
                </c:pt>
                <c:pt idx="439">
                  <c:v>21.3</c:v>
                </c:pt>
                <c:pt idx="440">
                  <c:v>21.6</c:v>
                </c:pt>
                <c:pt idx="441">
                  <c:v>21.9</c:v>
                </c:pt>
                <c:pt idx="442">
                  <c:v>22.2</c:v>
                </c:pt>
                <c:pt idx="443">
                  <c:v>22.5</c:v>
                </c:pt>
                <c:pt idx="444">
                  <c:v>22.8</c:v>
                </c:pt>
                <c:pt idx="445">
                  <c:v>23.1</c:v>
                </c:pt>
                <c:pt idx="446">
                  <c:v>23.4</c:v>
                </c:pt>
                <c:pt idx="447">
                  <c:v>23.7</c:v>
                </c:pt>
                <c:pt idx="448">
                  <c:v>24</c:v>
                </c:pt>
                <c:pt idx="449">
                  <c:v>24.4</c:v>
                </c:pt>
                <c:pt idx="450">
                  <c:v>24.7</c:v>
                </c:pt>
                <c:pt idx="451">
                  <c:v>25.1</c:v>
                </c:pt>
                <c:pt idx="452">
                  <c:v>25.4</c:v>
                </c:pt>
                <c:pt idx="453">
                  <c:v>25.8</c:v>
                </c:pt>
                <c:pt idx="454">
                  <c:v>26.2</c:v>
                </c:pt>
                <c:pt idx="455">
                  <c:v>26.6</c:v>
                </c:pt>
                <c:pt idx="456">
                  <c:v>27</c:v>
                </c:pt>
                <c:pt idx="457">
                  <c:v>27.4</c:v>
                </c:pt>
                <c:pt idx="458">
                  <c:v>27.8</c:v>
                </c:pt>
                <c:pt idx="459">
                  <c:v>28.2</c:v>
                </c:pt>
                <c:pt idx="460">
                  <c:v>28.7</c:v>
                </c:pt>
                <c:pt idx="461">
                  <c:v>29.1</c:v>
                </c:pt>
                <c:pt idx="462">
                  <c:v>29.6</c:v>
                </c:pt>
                <c:pt idx="463">
                  <c:v>30.1</c:v>
                </c:pt>
                <c:pt idx="464">
                  <c:v>30.6</c:v>
                </c:pt>
                <c:pt idx="465">
                  <c:v>31.1</c:v>
                </c:pt>
                <c:pt idx="466">
                  <c:v>31.6</c:v>
                </c:pt>
                <c:pt idx="467">
                  <c:v>32.1</c:v>
                </c:pt>
                <c:pt idx="468">
                  <c:v>32.700000000000003</c:v>
                </c:pt>
                <c:pt idx="469">
                  <c:v>33.200000000000003</c:v>
                </c:pt>
                <c:pt idx="470">
                  <c:v>33.799999999999997</c:v>
                </c:pt>
                <c:pt idx="471">
                  <c:v>34.4</c:v>
                </c:pt>
                <c:pt idx="472">
                  <c:v>35.1</c:v>
                </c:pt>
                <c:pt idx="473">
                  <c:v>35.700000000000003</c:v>
                </c:pt>
                <c:pt idx="474">
                  <c:v>36.4</c:v>
                </c:pt>
                <c:pt idx="475">
                  <c:v>37</c:v>
                </c:pt>
                <c:pt idx="476">
                  <c:v>37.700000000000003</c:v>
                </c:pt>
                <c:pt idx="477">
                  <c:v>38.5</c:v>
                </c:pt>
                <c:pt idx="478">
                  <c:v>39.200000000000003</c:v>
                </c:pt>
                <c:pt idx="479">
                  <c:v>40</c:v>
                </c:pt>
                <c:pt idx="480">
                  <c:v>40.799999999999997</c:v>
                </c:pt>
                <c:pt idx="481">
                  <c:v>41.6</c:v>
                </c:pt>
                <c:pt idx="482">
                  <c:v>42.5</c:v>
                </c:pt>
                <c:pt idx="483">
                  <c:v>43.4</c:v>
                </c:pt>
                <c:pt idx="484">
                  <c:v>44.3</c:v>
                </c:pt>
                <c:pt idx="485">
                  <c:v>45.3</c:v>
                </c:pt>
                <c:pt idx="486">
                  <c:v>46.3</c:v>
                </c:pt>
                <c:pt idx="487">
                  <c:v>47.3</c:v>
                </c:pt>
                <c:pt idx="488">
                  <c:v>48.4</c:v>
                </c:pt>
                <c:pt idx="489">
                  <c:v>49.5</c:v>
                </c:pt>
                <c:pt idx="490">
                  <c:v>50.7</c:v>
                </c:pt>
                <c:pt idx="491">
                  <c:v>51.9</c:v>
                </c:pt>
                <c:pt idx="492">
                  <c:v>53.2</c:v>
                </c:pt>
                <c:pt idx="493">
                  <c:v>54.5</c:v>
                </c:pt>
                <c:pt idx="494">
                  <c:v>55.9</c:v>
                </c:pt>
                <c:pt idx="495">
                  <c:v>57.4</c:v>
                </c:pt>
                <c:pt idx="496">
                  <c:v>59</c:v>
                </c:pt>
                <c:pt idx="497">
                  <c:v>60.6</c:v>
                </c:pt>
                <c:pt idx="498">
                  <c:v>62.3</c:v>
                </c:pt>
                <c:pt idx="499">
                  <c:v>64.2</c:v>
                </c:pt>
                <c:pt idx="500">
                  <c:v>66.099999999999994</c:v>
                </c:pt>
                <c:pt idx="501">
                  <c:v>68.099999999999994</c:v>
                </c:pt>
                <c:pt idx="502">
                  <c:v>70.3</c:v>
                </c:pt>
                <c:pt idx="503">
                  <c:v>72.599999999999994</c:v>
                </c:pt>
                <c:pt idx="504">
                  <c:v>75.099999999999994</c:v>
                </c:pt>
                <c:pt idx="505">
                  <c:v>77.8</c:v>
                </c:pt>
                <c:pt idx="506">
                  <c:v>80.400000000000006</c:v>
                </c:pt>
                <c:pt idx="507">
                  <c:v>83.4</c:v>
                </c:pt>
                <c:pt idx="508">
                  <c:v>86.5</c:v>
                </c:pt>
                <c:pt idx="509">
                  <c:v>90</c:v>
                </c:pt>
                <c:pt idx="510">
                  <c:v>94</c:v>
                </c:pt>
                <c:pt idx="511">
                  <c:v>97.7</c:v>
                </c:pt>
                <c:pt idx="512">
                  <c:v>101.6</c:v>
                </c:pt>
                <c:pt idx="513">
                  <c:v>106.1</c:v>
                </c:pt>
                <c:pt idx="514">
                  <c:v>111.1</c:v>
                </c:pt>
                <c:pt idx="515">
                  <c:v>116.8</c:v>
                </c:pt>
                <c:pt idx="516">
                  <c:v>122</c:v>
                </c:pt>
                <c:pt idx="517">
                  <c:v>127.1</c:v>
                </c:pt>
                <c:pt idx="518">
                  <c:v>133</c:v>
                </c:pt>
                <c:pt idx="519">
                  <c:v>139.69999999999999</c:v>
                </c:pt>
                <c:pt idx="520">
                  <c:v>147.4</c:v>
                </c:pt>
                <c:pt idx="521">
                  <c:v>155.1</c:v>
                </c:pt>
                <c:pt idx="522">
                  <c:v>160.5</c:v>
                </c:pt>
                <c:pt idx="523">
                  <c:v>167.3</c:v>
                </c:pt>
                <c:pt idx="524">
                  <c:v>175.1</c:v>
                </c:pt>
                <c:pt idx="525">
                  <c:v>184.1</c:v>
                </c:pt>
                <c:pt idx="526">
                  <c:v>196.1</c:v>
                </c:pt>
                <c:pt idx="527">
                  <c:v>198.6</c:v>
                </c:pt>
                <c:pt idx="528">
                  <c:v>204.7</c:v>
                </c:pt>
                <c:pt idx="529">
                  <c:v>211.9</c:v>
                </c:pt>
                <c:pt idx="530">
                  <c:v>219.8</c:v>
                </c:pt>
                <c:pt idx="531">
                  <c:v>229</c:v>
                </c:pt>
                <c:pt idx="532">
                  <c:v>232.7</c:v>
                </c:pt>
                <c:pt idx="533">
                  <c:v>236.1</c:v>
                </c:pt>
                <c:pt idx="534">
                  <c:v>240.5</c:v>
                </c:pt>
                <c:pt idx="535">
                  <c:v>245.1</c:v>
                </c:pt>
                <c:pt idx="536">
                  <c:v>249.8</c:v>
                </c:pt>
                <c:pt idx="537">
                  <c:v>253.2</c:v>
                </c:pt>
                <c:pt idx="538">
                  <c:v>254.1</c:v>
                </c:pt>
                <c:pt idx="539">
                  <c:v>255.8</c:v>
                </c:pt>
                <c:pt idx="540">
                  <c:v>257.5</c:v>
                </c:pt>
                <c:pt idx="541">
                  <c:v>259.10000000000002</c:v>
                </c:pt>
                <c:pt idx="542">
                  <c:v>260.39999999999998</c:v>
                </c:pt>
                <c:pt idx="543">
                  <c:v>261</c:v>
                </c:pt>
                <c:pt idx="544">
                  <c:v>261.60000000000002</c:v>
                </c:pt>
                <c:pt idx="545">
                  <c:v>262.10000000000002</c:v>
                </c:pt>
                <c:pt idx="546">
                  <c:v>262.60000000000002</c:v>
                </c:pt>
                <c:pt idx="547">
                  <c:v>263</c:v>
                </c:pt>
                <c:pt idx="548">
                  <c:v>263.39999999999998</c:v>
                </c:pt>
                <c:pt idx="549">
                  <c:v>263.7</c:v>
                </c:pt>
                <c:pt idx="550">
                  <c:v>264</c:v>
                </c:pt>
                <c:pt idx="551">
                  <c:v>264.2</c:v>
                </c:pt>
                <c:pt idx="552">
                  <c:v>264.39999999999998</c:v>
                </c:pt>
                <c:pt idx="553">
                  <c:v>264.60000000000002</c:v>
                </c:pt>
                <c:pt idx="554">
                  <c:v>264.8</c:v>
                </c:pt>
                <c:pt idx="555">
                  <c:v>264.89999999999998</c:v>
                </c:pt>
                <c:pt idx="556">
                  <c:v>265.10000000000002</c:v>
                </c:pt>
                <c:pt idx="557">
                  <c:v>265.2</c:v>
                </c:pt>
                <c:pt idx="558">
                  <c:v>265.3</c:v>
                </c:pt>
                <c:pt idx="559">
                  <c:v>265.39999999999998</c:v>
                </c:pt>
                <c:pt idx="560">
                  <c:v>265.5</c:v>
                </c:pt>
                <c:pt idx="561">
                  <c:v>265.60000000000002</c:v>
                </c:pt>
                <c:pt idx="562">
                  <c:v>265.7</c:v>
                </c:pt>
                <c:pt idx="563">
                  <c:v>265.8</c:v>
                </c:pt>
                <c:pt idx="564">
                  <c:v>265.8</c:v>
                </c:pt>
                <c:pt idx="565">
                  <c:v>265.89999999999998</c:v>
                </c:pt>
                <c:pt idx="566">
                  <c:v>266</c:v>
                </c:pt>
                <c:pt idx="567">
                  <c:v>266</c:v>
                </c:pt>
                <c:pt idx="568">
                  <c:v>266.10000000000002</c:v>
                </c:pt>
                <c:pt idx="569">
                  <c:v>266.10000000000002</c:v>
                </c:pt>
                <c:pt idx="570">
                  <c:v>266.2</c:v>
                </c:pt>
                <c:pt idx="571">
                  <c:v>266.2</c:v>
                </c:pt>
                <c:pt idx="572">
                  <c:v>266.3</c:v>
                </c:pt>
                <c:pt idx="573">
                  <c:v>266.3</c:v>
                </c:pt>
                <c:pt idx="574">
                  <c:v>266.3</c:v>
                </c:pt>
                <c:pt idx="575">
                  <c:v>266.3</c:v>
                </c:pt>
                <c:pt idx="576">
                  <c:v>266.39999999999998</c:v>
                </c:pt>
                <c:pt idx="577">
                  <c:v>266.39999999999998</c:v>
                </c:pt>
                <c:pt idx="578">
                  <c:v>266.39999999999998</c:v>
                </c:pt>
                <c:pt idx="579">
                  <c:v>266.39999999999998</c:v>
                </c:pt>
                <c:pt idx="580">
                  <c:v>266.39999999999998</c:v>
                </c:pt>
                <c:pt idx="581">
                  <c:v>266.5</c:v>
                </c:pt>
                <c:pt idx="582">
                  <c:v>266.5</c:v>
                </c:pt>
                <c:pt idx="583">
                  <c:v>266.5</c:v>
                </c:pt>
                <c:pt idx="584">
                  <c:v>266.5</c:v>
                </c:pt>
                <c:pt idx="585">
                  <c:v>266.5</c:v>
                </c:pt>
                <c:pt idx="586">
                  <c:v>266.5</c:v>
                </c:pt>
                <c:pt idx="587">
                  <c:v>266.60000000000002</c:v>
                </c:pt>
                <c:pt idx="588">
                  <c:v>266.60000000000002</c:v>
                </c:pt>
                <c:pt idx="589">
                  <c:v>266.60000000000002</c:v>
                </c:pt>
                <c:pt idx="590">
                  <c:v>266.60000000000002</c:v>
                </c:pt>
                <c:pt idx="591">
                  <c:v>266.60000000000002</c:v>
                </c:pt>
                <c:pt idx="592">
                  <c:v>266.60000000000002</c:v>
                </c:pt>
                <c:pt idx="593">
                  <c:v>266.60000000000002</c:v>
                </c:pt>
                <c:pt idx="594">
                  <c:v>266.60000000000002</c:v>
                </c:pt>
                <c:pt idx="595">
                  <c:v>266.60000000000002</c:v>
                </c:pt>
                <c:pt idx="596">
                  <c:v>266.60000000000002</c:v>
                </c:pt>
                <c:pt idx="597">
                  <c:v>266.60000000000002</c:v>
                </c:pt>
                <c:pt idx="598">
                  <c:v>266.60000000000002</c:v>
                </c:pt>
                <c:pt idx="599">
                  <c:v>266.60000000000002</c:v>
                </c:pt>
                <c:pt idx="600">
                  <c:v>266.60000000000002</c:v>
                </c:pt>
                <c:pt idx="601">
                  <c:v>266.60000000000002</c:v>
                </c:pt>
                <c:pt idx="602">
                  <c:v>266.60000000000002</c:v>
                </c:pt>
                <c:pt idx="603">
                  <c:v>266.5</c:v>
                </c:pt>
                <c:pt idx="604">
                  <c:v>266.5</c:v>
                </c:pt>
                <c:pt idx="605">
                  <c:v>266.5</c:v>
                </c:pt>
                <c:pt idx="606">
                  <c:v>266.5</c:v>
                </c:pt>
                <c:pt idx="607">
                  <c:v>266.5</c:v>
                </c:pt>
                <c:pt idx="608">
                  <c:v>266.5</c:v>
                </c:pt>
                <c:pt idx="609">
                  <c:v>266.39999999999998</c:v>
                </c:pt>
                <c:pt idx="610">
                  <c:v>266.39999999999998</c:v>
                </c:pt>
                <c:pt idx="611">
                  <c:v>266.39999999999998</c:v>
                </c:pt>
                <c:pt idx="612">
                  <c:v>266.3</c:v>
                </c:pt>
                <c:pt idx="613">
                  <c:v>266.3</c:v>
                </c:pt>
                <c:pt idx="614">
                  <c:v>266.2</c:v>
                </c:pt>
                <c:pt idx="615">
                  <c:v>266.2</c:v>
                </c:pt>
                <c:pt idx="616">
                  <c:v>266.10000000000002</c:v>
                </c:pt>
                <c:pt idx="617">
                  <c:v>266</c:v>
                </c:pt>
                <c:pt idx="618">
                  <c:v>265.89999999999998</c:v>
                </c:pt>
                <c:pt idx="619">
                  <c:v>265.8</c:v>
                </c:pt>
                <c:pt idx="620">
                  <c:v>265.60000000000002</c:v>
                </c:pt>
                <c:pt idx="621">
                  <c:v>265.5</c:v>
                </c:pt>
                <c:pt idx="622">
                  <c:v>265.3</c:v>
                </c:pt>
                <c:pt idx="623">
                  <c:v>265.2</c:v>
                </c:pt>
                <c:pt idx="624">
                  <c:v>265</c:v>
                </c:pt>
                <c:pt idx="625">
                  <c:v>264.8</c:v>
                </c:pt>
                <c:pt idx="626">
                  <c:v>264.5</c:v>
                </c:pt>
                <c:pt idx="627">
                  <c:v>264.3</c:v>
                </c:pt>
                <c:pt idx="628">
                  <c:v>264</c:v>
                </c:pt>
                <c:pt idx="629">
                  <c:v>263.7</c:v>
                </c:pt>
                <c:pt idx="630">
                  <c:v>263.3</c:v>
                </c:pt>
                <c:pt idx="631">
                  <c:v>262.89999999999998</c:v>
                </c:pt>
                <c:pt idx="632">
                  <c:v>262.5</c:v>
                </c:pt>
                <c:pt idx="633">
                  <c:v>261.8</c:v>
                </c:pt>
                <c:pt idx="634">
                  <c:v>261.10000000000002</c:v>
                </c:pt>
                <c:pt idx="635">
                  <c:v>260.2</c:v>
                </c:pt>
                <c:pt idx="636">
                  <c:v>259.39999999999998</c:v>
                </c:pt>
                <c:pt idx="637">
                  <c:v>258.7</c:v>
                </c:pt>
                <c:pt idx="638">
                  <c:v>256.39999999999998</c:v>
                </c:pt>
                <c:pt idx="639">
                  <c:v>254</c:v>
                </c:pt>
                <c:pt idx="640">
                  <c:v>251.5</c:v>
                </c:pt>
                <c:pt idx="641">
                  <c:v>249.1</c:v>
                </c:pt>
                <c:pt idx="642">
                  <c:v>247.7</c:v>
                </c:pt>
                <c:pt idx="643">
                  <c:v>242.8</c:v>
                </c:pt>
                <c:pt idx="644">
                  <c:v>237</c:v>
                </c:pt>
                <c:pt idx="645">
                  <c:v>231.5</c:v>
                </c:pt>
                <c:pt idx="646">
                  <c:v>226.4</c:v>
                </c:pt>
                <c:pt idx="647">
                  <c:v>222.2</c:v>
                </c:pt>
                <c:pt idx="648">
                  <c:v>217.3</c:v>
                </c:pt>
                <c:pt idx="649">
                  <c:v>208.3</c:v>
                </c:pt>
                <c:pt idx="650">
                  <c:v>200.7</c:v>
                </c:pt>
                <c:pt idx="651">
                  <c:v>193.8</c:v>
                </c:pt>
                <c:pt idx="652">
                  <c:v>187.7</c:v>
                </c:pt>
                <c:pt idx="653">
                  <c:v>184.3</c:v>
                </c:pt>
                <c:pt idx="654">
                  <c:v>174.1</c:v>
                </c:pt>
                <c:pt idx="655">
                  <c:v>166.5</c:v>
                </c:pt>
                <c:pt idx="656">
                  <c:v>159.69999999999999</c:v>
                </c:pt>
                <c:pt idx="657">
                  <c:v>153.6</c:v>
                </c:pt>
                <c:pt idx="658">
                  <c:v>148.5</c:v>
                </c:pt>
                <c:pt idx="659">
                  <c:v>142.30000000000001</c:v>
                </c:pt>
                <c:pt idx="660">
                  <c:v>136</c:v>
                </c:pt>
                <c:pt idx="661">
                  <c:v>130.4</c:v>
                </c:pt>
                <c:pt idx="662">
                  <c:v>125.5</c:v>
                </c:pt>
                <c:pt idx="663">
                  <c:v>121</c:v>
                </c:pt>
                <c:pt idx="664">
                  <c:v>116.8</c:v>
                </c:pt>
                <c:pt idx="665">
                  <c:v>112.1</c:v>
                </c:pt>
                <c:pt idx="666">
                  <c:v>108</c:v>
                </c:pt>
                <c:pt idx="667">
                  <c:v>104.3</c:v>
                </c:pt>
                <c:pt idx="668">
                  <c:v>100.9</c:v>
                </c:pt>
                <c:pt idx="669">
                  <c:v>97.9</c:v>
                </c:pt>
                <c:pt idx="670">
                  <c:v>94.5</c:v>
                </c:pt>
                <c:pt idx="671">
                  <c:v>91.5</c:v>
                </c:pt>
                <c:pt idx="672">
                  <c:v>88.8</c:v>
                </c:pt>
                <c:pt idx="673">
                  <c:v>86.2</c:v>
                </c:pt>
                <c:pt idx="674">
                  <c:v>83.8</c:v>
                </c:pt>
                <c:pt idx="675">
                  <c:v>81.5</c:v>
                </c:pt>
                <c:pt idx="676">
                  <c:v>79.3</c:v>
                </c:pt>
                <c:pt idx="677">
                  <c:v>77.2</c:v>
                </c:pt>
                <c:pt idx="678">
                  <c:v>75.3</c:v>
                </c:pt>
                <c:pt idx="679">
                  <c:v>73.400000000000006</c:v>
                </c:pt>
                <c:pt idx="680">
                  <c:v>71.599999999999994</c:v>
                </c:pt>
                <c:pt idx="681">
                  <c:v>69.900000000000006</c:v>
                </c:pt>
                <c:pt idx="682">
                  <c:v>68.3</c:v>
                </c:pt>
                <c:pt idx="683">
                  <c:v>66.8</c:v>
                </c:pt>
                <c:pt idx="684">
                  <c:v>65.3</c:v>
                </c:pt>
                <c:pt idx="685">
                  <c:v>63.9</c:v>
                </c:pt>
                <c:pt idx="686">
                  <c:v>62.6</c:v>
                </c:pt>
                <c:pt idx="687">
                  <c:v>61.3</c:v>
                </c:pt>
                <c:pt idx="688">
                  <c:v>60.1</c:v>
                </c:pt>
                <c:pt idx="689">
                  <c:v>58.9</c:v>
                </c:pt>
                <c:pt idx="690">
                  <c:v>57.7</c:v>
                </c:pt>
                <c:pt idx="691">
                  <c:v>56.6</c:v>
                </c:pt>
                <c:pt idx="692">
                  <c:v>55.6</c:v>
                </c:pt>
                <c:pt idx="693">
                  <c:v>54.5</c:v>
                </c:pt>
                <c:pt idx="694">
                  <c:v>53.6</c:v>
                </c:pt>
                <c:pt idx="695">
                  <c:v>52.6</c:v>
                </c:pt>
                <c:pt idx="696">
                  <c:v>51.7</c:v>
                </c:pt>
                <c:pt idx="697">
                  <c:v>50.8</c:v>
                </c:pt>
                <c:pt idx="698">
                  <c:v>49.9</c:v>
                </c:pt>
                <c:pt idx="699">
                  <c:v>49.1</c:v>
                </c:pt>
                <c:pt idx="700">
                  <c:v>48.3</c:v>
                </c:pt>
                <c:pt idx="701">
                  <c:v>47.5</c:v>
                </c:pt>
                <c:pt idx="702">
                  <c:v>46.7</c:v>
                </c:pt>
                <c:pt idx="703">
                  <c:v>46</c:v>
                </c:pt>
                <c:pt idx="704">
                  <c:v>45.2</c:v>
                </c:pt>
                <c:pt idx="705">
                  <c:v>44.5</c:v>
                </c:pt>
                <c:pt idx="706">
                  <c:v>43.8</c:v>
                </c:pt>
                <c:pt idx="707">
                  <c:v>43.2</c:v>
                </c:pt>
                <c:pt idx="708">
                  <c:v>42.5</c:v>
                </c:pt>
                <c:pt idx="709">
                  <c:v>41.9</c:v>
                </c:pt>
                <c:pt idx="710">
                  <c:v>41.3</c:v>
                </c:pt>
                <c:pt idx="711">
                  <c:v>40.700000000000003</c:v>
                </c:pt>
                <c:pt idx="712">
                  <c:v>40.1</c:v>
                </c:pt>
                <c:pt idx="713">
                  <c:v>39.6</c:v>
                </c:pt>
                <c:pt idx="714">
                  <c:v>39</c:v>
                </c:pt>
                <c:pt idx="715">
                  <c:v>38.5</c:v>
                </c:pt>
                <c:pt idx="716">
                  <c:v>38</c:v>
                </c:pt>
                <c:pt idx="717">
                  <c:v>37.5</c:v>
                </c:pt>
                <c:pt idx="718">
                  <c:v>37</c:v>
                </c:pt>
                <c:pt idx="719">
                  <c:v>36.5</c:v>
                </c:pt>
                <c:pt idx="720">
                  <c:v>36</c:v>
                </c:pt>
                <c:pt idx="721">
                  <c:v>35.6</c:v>
                </c:pt>
                <c:pt idx="722">
                  <c:v>35.1</c:v>
                </c:pt>
                <c:pt idx="723">
                  <c:v>34.700000000000003</c:v>
                </c:pt>
                <c:pt idx="724">
                  <c:v>34.299999999999997</c:v>
                </c:pt>
                <c:pt idx="725">
                  <c:v>33.9</c:v>
                </c:pt>
                <c:pt idx="726">
                  <c:v>33.5</c:v>
                </c:pt>
                <c:pt idx="727">
                  <c:v>33.1</c:v>
                </c:pt>
                <c:pt idx="728">
                  <c:v>32.700000000000003</c:v>
                </c:pt>
                <c:pt idx="729">
                  <c:v>32.299999999999997</c:v>
                </c:pt>
                <c:pt idx="730">
                  <c:v>31.9</c:v>
                </c:pt>
                <c:pt idx="731">
                  <c:v>31.6</c:v>
                </c:pt>
                <c:pt idx="732">
                  <c:v>31.2</c:v>
                </c:pt>
                <c:pt idx="733">
                  <c:v>30.9</c:v>
                </c:pt>
                <c:pt idx="734">
                  <c:v>30.5</c:v>
                </c:pt>
                <c:pt idx="735">
                  <c:v>30.2</c:v>
                </c:pt>
                <c:pt idx="736">
                  <c:v>29.9</c:v>
                </c:pt>
                <c:pt idx="737">
                  <c:v>29.6</c:v>
                </c:pt>
                <c:pt idx="738">
                  <c:v>29.2</c:v>
                </c:pt>
                <c:pt idx="739">
                  <c:v>28.9</c:v>
                </c:pt>
                <c:pt idx="740">
                  <c:v>28.6</c:v>
                </c:pt>
                <c:pt idx="741">
                  <c:v>28.4</c:v>
                </c:pt>
                <c:pt idx="742">
                  <c:v>28.1</c:v>
                </c:pt>
                <c:pt idx="743">
                  <c:v>27.8</c:v>
                </c:pt>
                <c:pt idx="744">
                  <c:v>27.5</c:v>
                </c:pt>
                <c:pt idx="745">
                  <c:v>27.3</c:v>
                </c:pt>
                <c:pt idx="746">
                  <c:v>27</c:v>
                </c:pt>
                <c:pt idx="747">
                  <c:v>26.7</c:v>
                </c:pt>
                <c:pt idx="748">
                  <c:v>26.5</c:v>
                </c:pt>
                <c:pt idx="749">
                  <c:v>26.2</c:v>
                </c:pt>
                <c:pt idx="750">
                  <c:v>26</c:v>
                </c:pt>
                <c:pt idx="751">
                  <c:v>25.8</c:v>
                </c:pt>
                <c:pt idx="752">
                  <c:v>25.5</c:v>
                </c:pt>
                <c:pt idx="753">
                  <c:v>25.3</c:v>
                </c:pt>
                <c:pt idx="754">
                  <c:v>25.1</c:v>
                </c:pt>
                <c:pt idx="755">
                  <c:v>24.9</c:v>
                </c:pt>
                <c:pt idx="756">
                  <c:v>24.6</c:v>
                </c:pt>
                <c:pt idx="757">
                  <c:v>24.4</c:v>
                </c:pt>
                <c:pt idx="758">
                  <c:v>24.2</c:v>
                </c:pt>
                <c:pt idx="759">
                  <c:v>24</c:v>
                </c:pt>
                <c:pt idx="760">
                  <c:v>23.8</c:v>
                </c:pt>
                <c:pt idx="761">
                  <c:v>23.6</c:v>
                </c:pt>
                <c:pt idx="762">
                  <c:v>23.4</c:v>
                </c:pt>
                <c:pt idx="763">
                  <c:v>23.2</c:v>
                </c:pt>
                <c:pt idx="764">
                  <c:v>23.1</c:v>
                </c:pt>
                <c:pt idx="765">
                  <c:v>22.9</c:v>
                </c:pt>
                <c:pt idx="766">
                  <c:v>22.7</c:v>
                </c:pt>
                <c:pt idx="767">
                  <c:v>22.5</c:v>
                </c:pt>
                <c:pt idx="768">
                  <c:v>22.3</c:v>
                </c:pt>
                <c:pt idx="769">
                  <c:v>22.2</c:v>
                </c:pt>
                <c:pt idx="770">
                  <c:v>22</c:v>
                </c:pt>
                <c:pt idx="771">
                  <c:v>21.9</c:v>
                </c:pt>
                <c:pt idx="772">
                  <c:v>21.7</c:v>
                </c:pt>
                <c:pt idx="773">
                  <c:v>21.5</c:v>
                </c:pt>
                <c:pt idx="774">
                  <c:v>21.4</c:v>
                </c:pt>
                <c:pt idx="775">
                  <c:v>21.2</c:v>
                </c:pt>
                <c:pt idx="776">
                  <c:v>21.1</c:v>
                </c:pt>
                <c:pt idx="777">
                  <c:v>20.9</c:v>
                </c:pt>
                <c:pt idx="778">
                  <c:v>20.8</c:v>
                </c:pt>
                <c:pt idx="779">
                  <c:v>20.6</c:v>
                </c:pt>
                <c:pt idx="780">
                  <c:v>20.5</c:v>
                </c:pt>
                <c:pt idx="781">
                  <c:v>20.399999999999999</c:v>
                </c:pt>
                <c:pt idx="782">
                  <c:v>20.2</c:v>
                </c:pt>
                <c:pt idx="783">
                  <c:v>20.100000000000001</c:v>
                </c:pt>
                <c:pt idx="784">
                  <c:v>20</c:v>
                </c:pt>
                <c:pt idx="785">
                  <c:v>19.8</c:v>
                </c:pt>
                <c:pt idx="786">
                  <c:v>19.7</c:v>
                </c:pt>
                <c:pt idx="787">
                  <c:v>19.600000000000001</c:v>
                </c:pt>
                <c:pt idx="788">
                  <c:v>19.5</c:v>
                </c:pt>
                <c:pt idx="789">
                  <c:v>19.3</c:v>
                </c:pt>
                <c:pt idx="790">
                  <c:v>19.2</c:v>
                </c:pt>
                <c:pt idx="791">
                  <c:v>19.100000000000001</c:v>
                </c:pt>
                <c:pt idx="792">
                  <c:v>19</c:v>
                </c:pt>
                <c:pt idx="793">
                  <c:v>18.899999999999999</c:v>
                </c:pt>
                <c:pt idx="794">
                  <c:v>18.8</c:v>
                </c:pt>
                <c:pt idx="795">
                  <c:v>18.7</c:v>
                </c:pt>
                <c:pt idx="796">
                  <c:v>18.5</c:v>
                </c:pt>
                <c:pt idx="797">
                  <c:v>18.399999999999999</c:v>
                </c:pt>
                <c:pt idx="798">
                  <c:v>18.3</c:v>
                </c:pt>
                <c:pt idx="799">
                  <c:v>18.2</c:v>
                </c:pt>
                <c:pt idx="800">
                  <c:v>18.100000000000001</c:v>
                </c:pt>
                <c:pt idx="801">
                  <c:v>18</c:v>
                </c:pt>
                <c:pt idx="802">
                  <c:v>17.899999999999999</c:v>
                </c:pt>
                <c:pt idx="803">
                  <c:v>17.8</c:v>
                </c:pt>
                <c:pt idx="804">
                  <c:v>17.7</c:v>
                </c:pt>
                <c:pt idx="805">
                  <c:v>17.600000000000001</c:v>
                </c:pt>
                <c:pt idx="806">
                  <c:v>17.600000000000001</c:v>
                </c:pt>
                <c:pt idx="807">
                  <c:v>17.5</c:v>
                </c:pt>
                <c:pt idx="808">
                  <c:v>17.399999999999999</c:v>
                </c:pt>
                <c:pt idx="809">
                  <c:v>17.3</c:v>
                </c:pt>
                <c:pt idx="810">
                  <c:v>17.2</c:v>
                </c:pt>
                <c:pt idx="811">
                  <c:v>17.100000000000001</c:v>
                </c:pt>
                <c:pt idx="812">
                  <c:v>17</c:v>
                </c:pt>
                <c:pt idx="813">
                  <c:v>16.899999999999999</c:v>
                </c:pt>
                <c:pt idx="814">
                  <c:v>16.899999999999999</c:v>
                </c:pt>
                <c:pt idx="815">
                  <c:v>16.8</c:v>
                </c:pt>
                <c:pt idx="816">
                  <c:v>16.7</c:v>
                </c:pt>
                <c:pt idx="817">
                  <c:v>16.600000000000001</c:v>
                </c:pt>
                <c:pt idx="818">
                  <c:v>16.5</c:v>
                </c:pt>
                <c:pt idx="819">
                  <c:v>16.5</c:v>
                </c:pt>
                <c:pt idx="820">
                  <c:v>16.399999999999999</c:v>
                </c:pt>
                <c:pt idx="821">
                  <c:v>16.3</c:v>
                </c:pt>
                <c:pt idx="822">
                  <c:v>16.2</c:v>
                </c:pt>
                <c:pt idx="823">
                  <c:v>16.2</c:v>
                </c:pt>
                <c:pt idx="824">
                  <c:v>16.100000000000001</c:v>
                </c:pt>
                <c:pt idx="825">
                  <c:v>16</c:v>
                </c:pt>
                <c:pt idx="826">
                  <c:v>16</c:v>
                </c:pt>
                <c:pt idx="827">
                  <c:v>15.9</c:v>
                </c:pt>
                <c:pt idx="828">
                  <c:v>15.8</c:v>
                </c:pt>
                <c:pt idx="829">
                  <c:v>15.8</c:v>
                </c:pt>
                <c:pt idx="830">
                  <c:v>15.7</c:v>
                </c:pt>
                <c:pt idx="831">
                  <c:v>15.6</c:v>
                </c:pt>
                <c:pt idx="832">
                  <c:v>15.6</c:v>
                </c:pt>
                <c:pt idx="833">
                  <c:v>15.5</c:v>
                </c:pt>
                <c:pt idx="834">
                  <c:v>15.5</c:v>
                </c:pt>
                <c:pt idx="835">
                  <c:v>15.4</c:v>
                </c:pt>
                <c:pt idx="836">
                  <c:v>15.3</c:v>
                </c:pt>
                <c:pt idx="837">
                  <c:v>15.3</c:v>
                </c:pt>
                <c:pt idx="838">
                  <c:v>15.2</c:v>
                </c:pt>
                <c:pt idx="839">
                  <c:v>15.2</c:v>
                </c:pt>
                <c:pt idx="840">
                  <c:v>15.1</c:v>
                </c:pt>
                <c:pt idx="841">
                  <c:v>15.1</c:v>
                </c:pt>
                <c:pt idx="842">
                  <c:v>15</c:v>
                </c:pt>
                <c:pt idx="843">
                  <c:v>14.9</c:v>
                </c:pt>
                <c:pt idx="844">
                  <c:v>14.9</c:v>
                </c:pt>
                <c:pt idx="845">
                  <c:v>14.8</c:v>
                </c:pt>
                <c:pt idx="846">
                  <c:v>14.8</c:v>
                </c:pt>
                <c:pt idx="847">
                  <c:v>14.7</c:v>
                </c:pt>
                <c:pt idx="848">
                  <c:v>14.7</c:v>
                </c:pt>
                <c:pt idx="849">
                  <c:v>14.6</c:v>
                </c:pt>
                <c:pt idx="850">
                  <c:v>14.6</c:v>
                </c:pt>
                <c:pt idx="851">
                  <c:v>14.5</c:v>
                </c:pt>
                <c:pt idx="852">
                  <c:v>14.5</c:v>
                </c:pt>
                <c:pt idx="853">
                  <c:v>14.4</c:v>
                </c:pt>
                <c:pt idx="854">
                  <c:v>14.4</c:v>
                </c:pt>
                <c:pt idx="855">
                  <c:v>14.4</c:v>
                </c:pt>
                <c:pt idx="856">
                  <c:v>14.3</c:v>
                </c:pt>
                <c:pt idx="857">
                  <c:v>14.3</c:v>
                </c:pt>
                <c:pt idx="858">
                  <c:v>14.2</c:v>
                </c:pt>
                <c:pt idx="859">
                  <c:v>14.2</c:v>
                </c:pt>
                <c:pt idx="860">
                  <c:v>14.1</c:v>
                </c:pt>
                <c:pt idx="861">
                  <c:v>14.1</c:v>
                </c:pt>
                <c:pt idx="862">
                  <c:v>14.1</c:v>
                </c:pt>
                <c:pt idx="863">
                  <c:v>14</c:v>
                </c:pt>
                <c:pt idx="864">
                  <c:v>14</c:v>
                </c:pt>
                <c:pt idx="865">
                  <c:v>13.9</c:v>
                </c:pt>
                <c:pt idx="866">
                  <c:v>13.9</c:v>
                </c:pt>
                <c:pt idx="867">
                  <c:v>13.9</c:v>
                </c:pt>
                <c:pt idx="868">
                  <c:v>13.8</c:v>
                </c:pt>
                <c:pt idx="869">
                  <c:v>13.8</c:v>
                </c:pt>
                <c:pt idx="870">
                  <c:v>13.8</c:v>
                </c:pt>
                <c:pt idx="871">
                  <c:v>13.7</c:v>
                </c:pt>
                <c:pt idx="872">
                  <c:v>13.7</c:v>
                </c:pt>
                <c:pt idx="873">
                  <c:v>13.7</c:v>
                </c:pt>
                <c:pt idx="874">
                  <c:v>13.6</c:v>
                </c:pt>
                <c:pt idx="875">
                  <c:v>13.6</c:v>
                </c:pt>
                <c:pt idx="876">
                  <c:v>13.6</c:v>
                </c:pt>
                <c:pt idx="877">
                  <c:v>13.5</c:v>
                </c:pt>
                <c:pt idx="878">
                  <c:v>13.5</c:v>
                </c:pt>
                <c:pt idx="879">
                  <c:v>13.5</c:v>
                </c:pt>
                <c:pt idx="880">
                  <c:v>13.4</c:v>
                </c:pt>
                <c:pt idx="881">
                  <c:v>13.4</c:v>
                </c:pt>
                <c:pt idx="882">
                  <c:v>13.4</c:v>
                </c:pt>
                <c:pt idx="883">
                  <c:v>13.3</c:v>
                </c:pt>
                <c:pt idx="884">
                  <c:v>13.3</c:v>
                </c:pt>
                <c:pt idx="885">
                  <c:v>13.3</c:v>
                </c:pt>
                <c:pt idx="886">
                  <c:v>13.3</c:v>
                </c:pt>
                <c:pt idx="887">
                  <c:v>13.2</c:v>
                </c:pt>
                <c:pt idx="888">
                  <c:v>13.2</c:v>
                </c:pt>
                <c:pt idx="889">
                  <c:v>13.2</c:v>
                </c:pt>
                <c:pt idx="890">
                  <c:v>13.2</c:v>
                </c:pt>
                <c:pt idx="891">
                  <c:v>13.1</c:v>
                </c:pt>
                <c:pt idx="892">
                  <c:v>13.1</c:v>
                </c:pt>
                <c:pt idx="893">
                  <c:v>13.1</c:v>
                </c:pt>
                <c:pt idx="894">
                  <c:v>13.1</c:v>
                </c:pt>
                <c:pt idx="895">
                  <c:v>13</c:v>
                </c:pt>
                <c:pt idx="896">
                  <c:v>13</c:v>
                </c:pt>
                <c:pt idx="897">
                  <c:v>13</c:v>
                </c:pt>
                <c:pt idx="898">
                  <c:v>13</c:v>
                </c:pt>
                <c:pt idx="899">
                  <c:v>12.9</c:v>
                </c:pt>
                <c:pt idx="900">
                  <c:v>12.9</c:v>
                </c:pt>
                <c:pt idx="901">
                  <c:v>12.9</c:v>
                </c:pt>
                <c:pt idx="902">
                  <c:v>12.9</c:v>
                </c:pt>
                <c:pt idx="903">
                  <c:v>12.9</c:v>
                </c:pt>
                <c:pt idx="904">
                  <c:v>12.8</c:v>
                </c:pt>
                <c:pt idx="905">
                  <c:v>12.8</c:v>
                </c:pt>
                <c:pt idx="906">
                  <c:v>12.8</c:v>
                </c:pt>
                <c:pt idx="907">
                  <c:v>12.8</c:v>
                </c:pt>
                <c:pt idx="908">
                  <c:v>12.8</c:v>
                </c:pt>
                <c:pt idx="909">
                  <c:v>12.7</c:v>
                </c:pt>
                <c:pt idx="910">
                  <c:v>12.7</c:v>
                </c:pt>
                <c:pt idx="911">
                  <c:v>12.7</c:v>
                </c:pt>
                <c:pt idx="912">
                  <c:v>12.7</c:v>
                </c:pt>
                <c:pt idx="913">
                  <c:v>12.7</c:v>
                </c:pt>
                <c:pt idx="914">
                  <c:v>12.7</c:v>
                </c:pt>
                <c:pt idx="915">
                  <c:v>12.6</c:v>
                </c:pt>
                <c:pt idx="916">
                  <c:v>12.6</c:v>
                </c:pt>
                <c:pt idx="917">
                  <c:v>12.6</c:v>
                </c:pt>
                <c:pt idx="918">
                  <c:v>12.6</c:v>
                </c:pt>
                <c:pt idx="919">
                  <c:v>12.6</c:v>
                </c:pt>
                <c:pt idx="920">
                  <c:v>12.6</c:v>
                </c:pt>
                <c:pt idx="921">
                  <c:v>12.6</c:v>
                </c:pt>
                <c:pt idx="922">
                  <c:v>12.5</c:v>
                </c:pt>
                <c:pt idx="923">
                  <c:v>12.5</c:v>
                </c:pt>
                <c:pt idx="924">
                  <c:v>12.5</c:v>
                </c:pt>
                <c:pt idx="925">
                  <c:v>12.5</c:v>
                </c:pt>
                <c:pt idx="926">
                  <c:v>12.5</c:v>
                </c:pt>
                <c:pt idx="927">
                  <c:v>12.5</c:v>
                </c:pt>
                <c:pt idx="928">
                  <c:v>12.5</c:v>
                </c:pt>
                <c:pt idx="929">
                  <c:v>12.5</c:v>
                </c:pt>
                <c:pt idx="930">
                  <c:v>12.5</c:v>
                </c:pt>
                <c:pt idx="931">
                  <c:v>12.5</c:v>
                </c:pt>
                <c:pt idx="932">
                  <c:v>12.4</c:v>
                </c:pt>
                <c:pt idx="933">
                  <c:v>12.4</c:v>
                </c:pt>
                <c:pt idx="934">
                  <c:v>12.4</c:v>
                </c:pt>
                <c:pt idx="935">
                  <c:v>12.4</c:v>
                </c:pt>
                <c:pt idx="936">
                  <c:v>12.4</c:v>
                </c:pt>
                <c:pt idx="937">
                  <c:v>12.4</c:v>
                </c:pt>
                <c:pt idx="938">
                  <c:v>12.4</c:v>
                </c:pt>
                <c:pt idx="939">
                  <c:v>12.4</c:v>
                </c:pt>
                <c:pt idx="940">
                  <c:v>12.4</c:v>
                </c:pt>
                <c:pt idx="941">
                  <c:v>12.4</c:v>
                </c:pt>
                <c:pt idx="942">
                  <c:v>12.4</c:v>
                </c:pt>
                <c:pt idx="943">
                  <c:v>12.4</c:v>
                </c:pt>
                <c:pt idx="944">
                  <c:v>12.4</c:v>
                </c:pt>
                <c:pt idx="945">
                  <c:v>12.4</c:v>
                </c:pt>
                <c:pt idx="946">
                  <c:v>12.4</c:v>
                </c:pt>
                <c:pt idx="947">
                  <c:v>12.4</c:v>
                </c:pt>
                <c:pt idx="948">
                  <c:v>12.4</c:v>
                </c:pt>
                <c:pt idx="949">
                  <c:v>12.3</c:v>
                </c:pt>
                <c:pt idx="950">
                  <c:v>12.3</c:v>
                </c:pt>
                <c:pt idx="951">
                  <c:v>12.3</c:v>
                </c:pt>
                <c:pt idx="952">
                  <c:v>12.3</c:v>
                </c:pt>
                <c:pt idx="953">
                  <c:v>12.3</c:v>
                </c:pt>
                <c:pt idx="954">
                  <c:v>12.3</c:v>
                </c:pt>
                <c:pt idx="955">
                  <c:v>12.3</c:v>
                </c:pt>
                <c:pt idx="956">
                  <c:v>12.3</c:v>
                </c:pt>
                <c:pt idx="957">
                  <c:v>12.3</c:v>
                </c:pt>
                <c:pt idx="958">
                  <c:v>12.3</c:v>
                </c:pt>
                <c:pt idx="959">
                  <c:v>12.3</c:v>
                </c:pt>
                <c:pt idx="960">
                  <c:v>12.3</c:v>
                </c:pt>
                <c:pt idx="961">
                  <c:v>12.3</c:v>
                </c:pt>
                <c:pt idx="962">
                  <c:v>12.4</c:v>
                </c:pt>
                <c:pt idx="963">
                  <c:v>12.4</c:v>
                </c:pt>
                <c:pt idx="964">
                  <c:v>12.4</c:v>
                </c:pt>
                <c:pt idx="965">
                  <c:v>12.4</c:v>
                </c:pt>
                <c:pt idx="966">
                  <c:v>12.4</c:v>
                </c:pt>
                <c:pt idx="967">
                  <c:v>12.4</c:v>
                </c:pt>
                <c:pt idx="968">
                  <c:v>12.4</c:v>
                </c:pt>
                <c:pt idx="969">
                  <c:v>12.4</c:v>
                </c:pt>
                <c:pt idx="970">
                  <c:v>12.4</c:v>
                </c:pt>
                <c:pt idx="971">
                  <c:v>12.4</c:v>
                </c:pt>
                <c:pt idx="972">
                  <c:v>12.4</c:v>
                </c:pt>
                <c:pt idx="973">
                  <c:v>12.4</c:v>
                </c:pt>
                <c:pt idx="974">
                  <c:v>12.4</c:v>
                </c:pt>
                <c:pt idx="975">
                  <c:v>12.4</c:v>
                </c:pt>
                <c:pt idx="976">
                  <c:v>12.4</c:v>
                </c:pt>
                <c:pt idx="977">
                  <c:v>12.4</c:v>
                </c:pt>
                <c:pt idx="978">
                  <c:v>12.5</c:v>
                </c:pt>
                <c:pt idx="979">
                  <c:v>12.5</c:v>
                </c:pt>
                <c:pt idx="980">
                  <c:v>12.5</c:v>
                </c:pt>
                <c:pt idx="981">
                  <c:v>12.5</c:v>
                </c:pt>
                <c:pt idx="982">
                  <c:v>12.5</c:v>
                </c:pt>
                <c:pt idx="983">
                  <c:v>12.5</c:v>
                </c:pt>
                <c:pt idx="984">
                  <c:v>12.5</c:v>
                </c:pt>
                <c:pt idx="985">
                  <c:v>12.5</c:v>
                </c:pt>
                <c:pt idx="986">
                  <c:v>12.5</c:v>
                </c:pt>
                <c:pt idx="987">
                  <c:v>12.6</c:v>
                </c:pt>
                <c:pt idx="988">
                  <c:v>12.6</c:v>
                </c:pt>
                <c:pt idx="989">
                  <c:v>12.6</c:v>
                </c:pt>
                <c:pt idx="990">
                  <c:v>12.6</c:v>
                </c:pt>
                <c:pt idx="991">
                  <c:v>12.6</c:v>
                </c:pt>
                <c:pt idx="992">
                  <c:v>12.6</c:v>
                </c:pt>
                <c:pt idx="993">
                  <c:v>12.7</c:v>
                </c:pt>
                <c:pt idx="994">
                  <c:v>12.7</c:v>
                </c:pt>
                <c:pt idx="995">
                  <c:v>12.7</c:v>
                </c:pt>
                <c:pt idx="996">
                  <c:v>12.7</c:v>
                </c:pt>
                <c:pt idx="997">
                  <c:v>12.7</c:v>
                </c:pt>
                <c:pt idx="998">
                  <c:v>12.8</c:v>
                </c:pt>
                <c:pt idx="999">
                  <c:v>12.8</c:v>
                </c:pt>
                <c:pt idx="1000">
                  <c:v>12.8</c:v>
                </c:pt>
                <c:pt idx="1001">
                  <c:v>12.8</c:v>
                </c:pt>
                <c:pt idx="1002">
                  <c:v>12.8</c:v>
                </c:pt>
                <c:pt idx="1003">
                  <c:v>12.9</c:v>
                </c:pt>
                <c:pt idx="1004">
                  <c:v>12.9</c:v>
                </c:pt>
                <c:pt idx="1005">
                  <c:v>12.9</c:v>
                </c:pt>
                <c:pt idx="1006">
                  <c:v>12.9</c:v>
                </c:pt>
                <c:pt idx="1007">
                  <c:v>13</c:v>
                </c:pt>
                <c:pt idx="1008">
                  <c:v>13</c:v>
                </c:pt>
                <c:pt idx="1009">
                  <c:v>13</c:v>
                </c:pt>
                <c:pt idx="1010">
                  <c:v>13</c:v>
                </c:pt>
                <c:pt idx="1011">
                  <c:v>13.1</c:v>
                </c:pt>
                <c:pt idx="1012">
                  <c:v>13.1</c:v>
                </c:pt>
                <c:pt idx="1013">
                  <c:v>13.1</c:v>
                </c:pt>
                <c:pt idx="1014">
                  <c:v>13.2</c:v>
                </c:pt>
                <c:pt idx="1015">
                  <c:v>13.2</c:v>
                </c:pt>
                <c:pt idx="1016">
                  <c:v>13.2</c:v>
                </c:pt>
                <c:pt idx="1017">
                  <c:v>13.3</c:v>
                </c:pt>
                <c:pt idx="1018">
                  <c:v>13.3</c:v>
                </c:pt>
                <c:pt idx="1019">
                  <c:v>13.3</c:v>
                </c:pt>
                <c:pt idx="1020">
                  <c:v>13.4</c:v>
                </c:pt>
                <c:pt idx="1021">
                  <c:v>13.4</c:v>
                </c:pt>
                <c:pt idx="1022">
                  <c:v>13.5</c:v>
                </c:pt>
                <c:pt idx="1023">
                  <c:v>13.5</c:v>
                </c:pt>
                <c:pt idx="1024">
                  <c:v>13.5</c:v>
                </c:pt>
                <c:pt idx="1025">
                  <c:v>13.6</c:v>
                </c:pt>
                <c:pt idx="1026">
                  <c:v>13.6</c:v>
                </c:pt>
                <c:pt idx="1027">
                  <c:v>13.7</c:v>
                </c:pt>
                <c:pt idx="1028">
                  <c:v>13.7</c:v>
                </c:pt>
                <c:pt idx="1029">
                  <c:v>13.8</c:v>
                </c:pt>
                <c:pt idx="1030">
                  <c:v>13.8</c:v>
                </c:pt>
                <c:pt idx="1031">
                  <c:v>13.9</c:v>
                </c:pt>
                <c:pt idx="1032">
                  <c:v>13.9</c:v>
                </c:pt>
                <c:pt idx="1033">
                  <c:v>14</c:v>
                </c:pt>
                <c:pt idx="1034">
                  <c:v>14</c:v>
                </c:pt>
                <c:pt idx="1035">
                  <c:v>14.1</c:v>
                </c:pt>
                <c:pt idx="1036">
                  <c:v>14.1</c:v>
                </c:pt>
                <c:pt idx="1037">
                  <c:v>14.2</c:v>
                </c:pt>
                <c:pt idx="1038">
                  <c:v>14.2</c:v>
                </c:pt>
                <c:pt idx="1039">
                  <c:v>14.3</c:v>
                </c:pt>
                <c:pt idx="1040">
                  <c:v>14.4</c:v>
                </c:pt>
                <c:pt idx="1041">
                  <c:v>14.4</c:v>
                </c:pt>
                <c:pt idx="1042">
                  <c:v>14.5</c:v>
                </c:pt>
                <c:pt idx="1043">
                  <c:v>14.5</c:v>
                </c:pt>
                <c:pt idx="1044">
                  <c:v>14.6</c:v>
                </c:pt>
                <c:pt idx="1045">
                  <c:v>14.7</c:v>
                </c:pt>
                <c:pt idx="1046">
                  <c:v>14.7</c:v>
                </c:pt>
                <c:pt idx="1047">
                  <c:v>14.8</c:v>
                </c:pt>
                <c:pt idx="1048">
                  <c:v>14.9</c:v>
                </c:pt>
                <c:pt idx="1049">
                  <c:v>15</c:v>
                </c:pt>
                <c:pt idx="1050">
                  <c:v>15.1</c:v>
                </c:pt>
                <c:pt idx="1051">
                  <c:v>15.1</c:v>
                </c:pt>
                <c:pt idx="1052">
                  <c:v>15.2</c:v>
                </c:pt>
                <c:pt idx="1053">
                  <c:v>15.3</c:v>
                </c:pt>
                <c:pt idx="1054">
                  <c:v>15.4</c:v>
                </c:pt>
                <c:pt idx="1055">
                  <c:v>15.5</c:v>
                </c:pt>
                <c:pt idx="1056">
                  <c:v>15.6</c:v>
                </c:pt>
                <c:pt idx="1057">
                  <c:v>15.7</c:v>
                </c:pt>
                <c:pt idx="1058">
                  <c:v>15.8</c:v>
                </c:pt>
                <c:pt idx="1059">
                  <c:v>15.9</c:v>
                </c:pt>
                <c:pt idx="1060">
                  <c:v>16</c:v>
                </c:pt>
                <c:pt idx="1061">
                  <c:v>16.100000000000001</c:v>
                </c:pt>
                <c:pt idx="1062">
                  <c:v>16.2</c:v>
                </c:pt>
                <c:pt idx="1063">
                  <c:v>16.3</c:v>
                </c:pt>
                <c:pt idx="1064">
                  <c:v>16.399999999999999</c:v>
                </c:pt>
                <c:pt idx="1065">
                  <c:v>16.5</c:v>
                </c:pt>
                <c:pt idx="1066">
                  <c:v>16.600000000000001</c:v>
                </c:pt>
                <c:pt idx="1067">
                  <c:v>16.7</c:v>
                </c:pt>
                <c:pt idx="1068">
                  <c:v>16.899999999999999</c:v>
                </c:pt>
                <c:pt idx="1069">
                  <c:v>17</c:v>
                </c:pt>
                <c:pt idx="1070">
                  <c:v>17.100000000000001</c:v>
                </c:pt>
                <c:pt idx="1071">
                  <c:v>17.3</c:v>
                </c:pt>
                <c:pt idx="1072">
                  <c:v>17.399999999999999</c:v>
                </c:pt>
                <c:pt idx="1073">
                  <c:v>17.600000000000001</c:v>
                </c:pt>
                <c:pt idx="1074">
                  <c:v>17.7</c:v>
                </c:pt>
                <c:pt idx="1075">
                  <c:v>17.899999999999999</c:v>
                </c:pt>
                <c:pt idx="1076">
                  <c:v>18</c:v>
                </c:pt>
                <c:pt idx="1077">
                  <c:v>18.2</c:v>
                </c:pt>
                <c:pt idx="1078">
                  <c:v>18.399999999999999</c:v>
                </c:pt>
                <c:pt idx="1079">
                  <c:v>18.5</c:v>
                </c:pt>
                <c:pt idx="1080">
                  <c:v>18.7</c:v>
                </c:pt>
                <c:pt idx="1081">
                  <c:v>18.899999999999999</c:v>
                </c:pt>
                <c:pt idx="1082">
                  <c:v>19.100000000000001</c:v>
                </c:pt>
                <c:pt idx="1083">
                  <c:v>19.3</c:v>
                </c:pt>
                <c:pt idx="1084">
                  <c:v>19.5</c:v>
                </c:pt>
                <c:pt idx="1085">
                  <c:v>19.7</c:v>
                </c:pt>
                <c:pt idx="1086">
                  <c:v>19.899999999999999</c:v>
                </c:pt>
                <c:pt idx="1087">
                  <c:v>20.100000000000001</c:v>
                </c:pt>
                <c:pt idx="1088">
                  <c:v>20.399999999999999</c:v>
                </c:pt>
                <c:pt idx="1089">
                  <c:v>20.6</c:v>
                </c:pt>
                <c:pt idx="1090">
                  <c:v>20.8</c:v>
                </c:pt>
                <c:pt idx="1091">
                  <c:v>21.1</c:v>
                </c:pt>
                <c:pt idx="1092">
                  <c:v>21.4</c:v>
                </c:pt>
                <c:pt idx="1093">
                  <c:v>21.6</c:v>
                </c:pt>
                <c:pt idx="1094">
                  <c:v>21.9</c:v>
                </c:pt>
                <c:pt idx="1095">
                  <c:v>22.2</c:v>
                </c:pt>
                <c:pt idx="1096">
                  <c:v>22.5</c:v>
                </c:pt>
                <c:pt idx="1097">
                  <c:v>22.8</c:v>
                </c:pt>
                <c:pt idx="1098">
                  <c:v>23.1</c:v>
                </c:pt>
                <c:pt idx="1099">
                  <c:v>23.5</c:v>
                </c:pt>
                <c:pt idx="1100">
                  <c:v>23.8</c:v>
                </c:pt>
                <c:pt idx="1101">
                  <c:v>24.2</c:v>
                </c:pt>
                <c:pt idx="1102">
                  <c:v>24.5</c:v>
                </c:pt>
                <c:pt idx="1103">
                  <c:v>24.9</c:v>
                </c:pt>
                <c:pt idx="1104">
                  <c:v>25.3</c:v>
                </c:pt>
                <c:pt idx="1105">
                  <c:v>25.8</c:v>
                </c:pt>
                <c:pt idx="1106">
                  <c:v>26.2</c:v>
                </c:pt>
                <c:pt idx="1107">
                  <c:v>26.6</c:v>
                </c:pt>
                <c:pt idx="1108">
                  <c:v>27.1</c:v>
                </c:pt>
                <c:pt idx="1109">
                  <c:v>27.6</c:v>
                </c:pt>
                <c:pt idx="1110">
                  <c:v>28.1</c:v>
                </c:pt>
                <c:pt idx="1111">
                  <c:v>28.7</c:v>
                </c:pt>
                <c:pt idx="1112">
                  <c:v>29.2</c:v>
                </c:pt>
                <c:pt idx="1113">
                  <c:v>29.8</c:v>
                </c:pt>
                <c:pt idx="1114">
                  <c:v>30.4</c:v>
                </c:pt>
                <c:pt idx="1115">
                  <c:v>31</c:v>
                </c:pt>
                <c:pt idx="1116">
                  <c:v>31.7</c:v>
                </c:pt>
                <c:pt idx="1117">
                  <c:v>32.4</c:v>
                </c:pt>
                <c:pt idx="1118">
                  <c:v>33.1</c:v>
                </c:pt>
                <c:pt idx="1119">
                  <c:v>33.9</c:v>
                </c:pt>
                <c:pt idx="1120">
                  <c:v>34.700000000000003</c:v>
                </c:pt>
                <c:pt idx="1121">
                  <c:v>35.5</c:v>
                </c:pt>
                <c:pt idx="1122">
                  <c:v>36.4</c:v>
                </c:pt>
                <c:pt idx="1123">
                  <c:v>37.299999999999997</c:v>
                </c:pt>
                <c:pt idx="1124">
                  <c:v>38.200000000000003</c:v>
                </c:pt>
                <c:pt idx="1125">
                  <c:v>39.200000000000003</c:v>
                </c:pt>
                <c:pt idx="1126">
                  <c:v>40.299999999999997</c:v>
                </c:pt>
                <c:pt idx="1127">
                  <c:v>41.4</c:v>
                </c:pt>
                <c:pt idx="1128">
                  <c:v>42.6</c:v>
                </c:pt>
                <c:pt idx="1129">
                  <c:v>43.8</c:v>
                </c:pt>
                <c:pt idx="1130">
                  <c:v>45.1</c:v>
                </c:pt>
                <c:pt idx="1131">
                  <c:v>46.5</c:v>
                </c:pt>
                <c:pt idx="1132">
                  <c:v>48</c:v>
                </c:pt>
                <c:pt idx="1133">
                  <c:v>49.5</c:v>
                </c:pt>
                <c:pt idx="1134">
                  <c:v>51.1</c:v>
                </c:pt>
                <c:pt idx="1135">
                  <c:v>52.8</c:v>
                </c:pt>
                <c:pt idx="1136">
                  <c:v>54.7</c:v>
                </c:pt>
                <c:pt idx="1137">
                  <c:v>56.6</c:v>
                </c:pt>
                <c:pt idx="1138">
                  <c:v>58.7</c:v>
                </c:pt>
                <c:pt idx="1139">
                  <c:v>60.8</c:v>
                </c:pt>
                <c:pt idx="1140">
                  <c:v>63.2</c:v>
                </c:pt>
                <c:pt idx="1141">
                  <c:v>65.599999999999994</c:v>
                </c:pt>
                <c:pt idx="1142">
                  <c:v>68.2</c:v>
                </c:pt>
                <c:pt idx="1143">
                  <c:v>71</c:v>
                </c:pt>
                <c:pt idx="1144">
                  <c:v>74</c:v>
                </c:pt>
                <c:pt idx="1145">
                  <c:v>77.2</c:v>
                </c:pt>
                <c:pt idx="1146">
                  <c:v>80.599999999999994</c:v>
                </c:pt>
                <c:pt idx="1147">
                  <c:v>84.2</c:v>
                </c:pt>
                <c:pt idx="1148">
                  <c:v>88</c:v>
                </c:pt>
                <c:pt idx="1149">
                  <c:v>92.2</c:v>
                </c:pt>
                <c:pt idx="1150">
                  <c:v>96.6</c:v>
                </c:pt>
                <c:pt idx="1151">
                  <c:v>101.3</c:v>
                </c:pt>
                <c:pt idx="1152">
                  <c:v>106.3</c:v>
                </c:pt>
                <c:pt idx="1153">
                  <c:v>111.7</c:v>
                </c:pt>
                <c:pt idx="1154">
                  <c:v>117.5</c:v>
                </c:pt>
                <c:pt idx="1155">
                  <c:v>123.6</c:v>
                </c:pt>
                <c:pt idx="1156">
                  <c:v>130.1</c:v>
                </c:pt>
                <c:pt idx="1157">
                  <c:v>137</c:v>
                </c:pt>
                <c:pt idx="1158">
                  <c:v>144.30000000000001</c:v>
                </c:pt>
                <c:pt idx="1159">
                  <c:v>152</c:v>
                </c:pt>
                <c:pt idx="1160">
                  <c:v>160.1</c:v>
                </c:pt>
                <c:pt idx="1161">
                  <c:v>168.5</c:v>
                </c:pt>
                <c:pt idx="1162">
                  <c:v>177.3</c:v>
                </c:pt>
                <c:pt idx="1163">
                  <c:v>186.2</c:v>
                </c:pt>
                <c:pt idx="1164">
                  <c:v>195.2</c:v>
                </c:pt>
                <c:pt idx="1165">
                  <c:v>204.2</c:v>
                </c:pt>
                <c:pt idx="1166">
                  <c:v>213</c:v>
                </c:pt>
                <c:pt idx="1167">
                  <c:v>221.3</c:v>
                </c:pt>
                <c:pt idx="1168">
                  <c:v>229.1</c:v>
                </c:pt>
                <c:pt idx="1169">
                  <c:v>236</c:v>
                </c:pt>
                <c:pt idx="1170">
                  <c:v>241.8</c:v>
                </c:pt>
                <c:pt idx="1171">
                  <c:v>246.6</c:v>
                </c:pt>
                <c:pt idx="1172">
                  <c:v>250.1</c:v>
                </c:pt>
                <c:pt idx="1173">
                  <c:v>252.6</c:v>
                </c:pt>
                <c:pt idx="1174">
                  <c:v>254.2</c:v>
                </c:pt>
                <c:pt idx="1175">
                  <c:v>255.1</c:v>
                </c:pt>
                <c:pt idx="1176">
                  <c:v>255.6</c:v>
                </c:pt>
                <c:pt idx="1177">
                  <c:v>255.8</c:v>
                </c:pt>
                <c:pt idx="1178">
                  <c:v>255.8</c:v>
                </c:pt>
                <c:pt idx="1179">
                  <c:v>255.6</c:v>
                </c:pt>
                <c:pt idx="1180">
                  <c:v>255.1</c:v>
                </c:pt>
                <c:pt idx="1181">
                  <c:v>254.2</c:v>
                </c:pt>
                <c:pt idx="1182">
                  <c:v>252.7</c:v>
                </c:pt>
                <c:pt idx="1183">
                  <c:v>250.2</c:v>
                </c:pt>
                <c:pt idx="1184">
                  <c:v>246.7</c:v>
                </c:pt>
                <c:pt idx="1185">
                  <c:v>242</c:v>
                </c:pt>
                <c:pt idx="1186">
                  <c:v>236.1</c:v>
                </c:pt>
                <c:pt idx="1187">
                  <c:v>229.3</c:v>
                </c:pt>
                <c:pt idx="1188">
                  <c:v>221.6</c:v>
                </c:pt>
                <c:pt idx="1189">
                  <c:v>213.3</c:v>
                </c:pt>
                <c:pt idx="1190">
                  <c:v>204.6</c:v>
                </c:pt>
              </c:numCache>
            </c:numRef>
          </c:yVal>
          <c:smooth val="1"/>
          <c:extLst>
            <c:ext xmlns:c16="http://schemas.microsoft.com/office/drawing/2014/chart" uri="{C3380CC4-5D6E-409C-BE32-E72D297353CC}">
              <c16:uniqueId val="{00000000-EFD3-41E0-A788-ACBB18432052}"/>
            </c:ext>
          </c:extLst>
        </c:ser>
        <c:ser>
          <c:idx val="4"/>
          <c:order val="1"/>
          <c:tx>
            <c:strRef>
              <c:f>Tatm!$F$5</c:f>
              <c:strCache>
                <c:ptCount val="1"/>
                <c:pt idx="0">
                  <c:v>6</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Tatm!$F$6:$F$1196</c:f>
              <c:numCache>
                <c:formatCode>General</c:formatCode>
                <c:ptCount val="1191"/>
                <c:pt idx="0">
                  <c:v>4.0999999999999996</c:v>
                </c:pt>
                <c:pt idx="1">
                  <c:v>4.0999999999999996</c:v>
                </c:pt>
                <c:pt idx="2">
                  <c:v>4.0999999999999996</c:v>
                </c:pt>
                <c:pt idx="3">
                  <c:v>4.0999999999999996</c:v>
                </c:pt>
                <c:pt idx="4">
                  <c:v>4.0999999999999996</c:v>
                </c:pt>
                <c:pt idx="5">
                  <c:v>4.0999999999999996</c:v>
                </c:pt>
                <c:pt idx="6">
                  <c:v>4.0999999999999996</c:v>
                </c:pt>
                <c:pt idx="7">
                  <c:v>4.2</c:v>
                </c:pt>
                <c:pt idx="8">
                  <c:v>4.2</c:v>
                </c:pt>
                <c:pt idx="9">
                  <c:v>4.2</c:v>
                </c:pt>
                <c:pt idx="10">
                  <c:v>4.2</c:v>
                </c:pt>
                <c:pt idx="11">
                  <c:v>4.2</c:v>
                </c:pt>
                <c:pt idx="12">
                  <c:v>4.2</c:v>
                </c:pt>
                <c:pt idx="13">
                  <c:v>4.2</c:v>
                </c:pt>
                <c:pt idx="14">
                  <c:v>4.2</c:v>
                </c:pt>
                <c:pt idx="15">
                  <c:v>4.2</c:v>
                </c:pt>
                <c:pt idx="16">
                  <c:v>4.2</c:v>
                </c:pt>
                <c:pt idx="17">
                  <c:v>4.2</c:v>
                </c:pt>
                <c:pt idx="18">
                  <c:v>4.2</c:v>
                </c:pt>
                <c:pt idx="19">
                  <c:v>4.2</c:v>
                </c:pt>
                <c:pt idx="20">
                  <c:v>4.2</c:v>
                </c:pt>
                <c:pt idx="21">
                  <c:v>4.2</c:v>
                </c:pt>
                <c:pt idx="22">
                  <c:v>4.2</c:v>
                </c:pt>
                <c:pt idx="23">
                  <c:v>4.2</c:v>
                </c:pt>
                <c:pt idx="24">
                  <c:v>4.2</c:v>
                </c:pt>
                <c:pt idx="25">
                  <c:v>4.2</c:v>
                </c:pt>
                <c:pt idx="26">
                  <c:v>4.2</c:v>
                </c:pt>
                <c:pt idx="27">
                  <c:v>4.2</c:v>
                </c:pt>
                <c:pt idx="28">
                  <c:v>4.2</c:v>
                </c:pt>
                <c:pt idx="29">
                  <c:v>4.2</c:v>
                </c:pt>
                <c:pt idx="30">
                  <c:v>4.2</c:v>
                </c:pt>
                <c:pt idx="31">
                  <c:v>4.2</c:v>
                </c:pt>
                <c:pt idx="32">
                  <c:v>4.3</c:v>
                </c:pt>
                <c:pt idx="33">
                  <c:v>4.3</c:v>
                </c:pt>
                <c:pt idx="34">
                  <c:v>4.3</c:v>
                </c:pt>
                <c:pt idx="35">
                  <c:v>4.3</c:v>
                </c:pt>
                <c:pt idx="36">
                  <c:v>4.3</c:v>
                </c:pt>
                <c:pt idx="37">
                  <c:v>4.3</c:v>
                </c:pt>
                <c:pt idx="38">
                  <c:v>4.3</c:v>
                </c:pt>
                <c:pt idx="39">
                  <c:v>4.3</c:v>
                </c:pt>
                <c:pt idx="40">
                  <c:v>4.3</c:v>
                </c:pt>
                <c:pt idx="41">
                  <c:v>4.3</c:v>
                </c:pt>
                <c:pt idx="42">
                  <c:v>4.3</c:v>
                </c:pt>
                <c:pt idx="43">
                  <c:v>4.3</c:v>
                </c:pt>
                <c:pt idx="44">
                  <c:v>4.3</c:v>
                </c:pt>
                <c:pt idx="45">
                  <c:v>4.3</c:v>
                </c:pt>
                <c:pt idx="46">
                  <c:v>4.3</c:v>
                </c:pt>
                <c:pt idx="47">
                  <c:v>4.3</c:v>
                </c:pt>
                <c:pt idx="48">
                  <c:v>4.3</c:v>
                </c:pt>
                <c:pt idx="49">
                  <c:v>4.3</c:v>
                </c:pt>
                <c:pt idx="50">
                  <c:v>4.3</c:v>
                </c:pt>
                <c:pt idx="51">
                  <c:v>4.3</c:v>
                </c:pt>
                <c:pt idx="52">
                  <c:v>4.3</c:v>
                </c:pt>
                <c:pt idx="53">
                  <c:v>4.3</c:v>
                </c:pt>
                <c:pt idx="54">
                  <c:v>4.3</c:v>
                </c:pt>
                <c:pt idx="55">
                  <c:v>4.4000000000000004</c:v>
                </c:pt>
                <c:pt idx="56">
                  <c:v>4.4000000000000004</c:v>
                </c:pt>
                <c:pt idx="57">
                  <c:v>4.4000000000000004</c:v>
                </c:pt>
                <c:pt idx="58">
                  <c:v>4.4000000000000004</c:v>
                </c:pt>
                <c:pt idx="59">
                  <c:v>4.4000000000000004</c:v>
                </c:pt>
                <c:pt idx="60">
                  <c:v>4.4000000000000004</c:v>
                </c:pt>
                <c:pt idx="61">
                  <c:v>4.4000000000000004</c:v>
                </c:pt>
                <c:pt idx="62">
                  <c:v>4.4000000000000004</c:v>
                </c:pt>
                <c:pt idx="63">
                  <c:v>4.4000000000000004</c:v>
                </c:pt>
                <c:pt idx="64">
                  <c:v>4.4000000000000004</c:v>
                </c:pt>
                <c:pt idx="65">
                  <c:v>4.4000000000000004</c:v>
                </c:pt>
                <c:pt idx="66">
                  <c:v>4.4000000000000004</c:v>
                </c:pt>
                <c:pt idx="67">
                  <c:v>4.4000000000000004</c:v>
                </c:pt>
                <c:pt idx="68">
                  <c:v>4.4000000000000004</c:v>
                </c:pt>
                <c:pt idx="69">
                  <c:v>4.4000000000000004</c:v>
                </c:pt>
                <c:pt idx="70">
                  <c:v>4.4000000000000004</c:v>
                </c:pt>
                <c:pt idx="71">
                  <c:v>4.4000000000000004</c:v>
                </c:pt>
                <c:pt idx="72">
                  <c:v>4.5</c:v>
                </c:pt>
                <c:pt idx="73">
                  <c:v>4.5</c:v>
                </c:pt>
                <c:pt idx="74">
                  <c:v>4.5</c:v>
                </c:pt>
                <c:pt idx="75">
                  <c:v>4.5</c:v>
                </c:pt>
                <c:pt idx="76">
                  <c:v>4.5</c:v>
                </c:pt>
                <c:pt idx="77">
                  <c:v>4.5</c:v>
                </c:pt>
                <c:pt idx="78">
                  <c:v>4.5</c:v>
                </c:pt>
                <c:pt idx="79">
                  <c:v>4.5</c:v>
                </c:pt>
                <c:pt idx="80">
                  <c:v>4.5</c:v>
                </c:pt>
                <c:pt idx="81">
                  <c:v>4.5</c:v>
                </c:pt>
                <c:pt idx="82">
                  <c:v>4.5</c:v>
                </c:pt>
                <c:pt idx="83">
                  <c:v>4.5</c:v>
                </c:pt>
                <c:pt idx="84">
                  <c:v>4.5</c:v>
                </c:pt>
                <c:pt idx="85">
                  <c:v>4.5999999999999996</c:v>
                </c:pt>
                <c:pt idx="86">
                  <c:v>4.5999999999999996</c:v>
                </c:pt>
                <c:pt idx="87">
                  <c:v>4.5999999999999996</c:v>
                </c:pt>
                <c:pt idx="88">
                  <c:v>4.5999999999999996</c:v>
                </c:pt>
                <c:pt idx="89">
                  <c:v>4.5999999999999996</c:v>
                </c:pt>
                <c:pt idx="90">
                  <c:v>4.5999999999999996</c:v>
                </c:pt>
                <c:pt idx="91">
                  <c:v>4.5999999999999996</c:v>
                </c:pt>
                <c:pt idx="92">
                  <c:v>4.5999999999999996</c:v>
                </c:pt>
                <c:pt idx="93">
                  <c:v>4.5999999999999996</c:v>
                </c:pt>
                <c:pt idx="94">
                  <c:v>4.5999999999999996</c:v>
                </c:pt>
                <c:pt idx="95">
                  <c:v>4.5999999999999996</c:v>
                </c:pt>
                <c:pt idx="96">
                  <c:v>4.7</c:v>
                </c:pt>
                <c:pt idx="97">
                  <c:v>4.7</c:v>
                </c:pt>
                <c:pt idx="98">
                  <c:v>4.7</c:v>
                </c:pt>
                <c:pt idx="99">
                  <c:v>4.7</c:v>
                </c:pt>
                <c:pt idx="100">
                  <c:v>4.7</c:v>
                </c:pt>
                <c:pt idx="101">
                  <c:v>4.7</c:v>
                </c:pt>
                <c:pt idx="102">
                  <c:v>4.7</c:v>
                </c:pt>
                <c:pt idx="103">
                  <c:v>4.7</c:v>
                </c:pt>
                <c:pt idx="104">
                  <c:v>4.7</c:v>
                </c:pt>
                <c:pt idx="105">
                  <c:v>4.8</c:v>
                </c:pt>
                <c:pt idx="106">
                  <c:v>4.8</c:v>
                </c:pt>
                <c:pt idx="107">
                  <c:v>4.8</c:v>
                </c:pt>
                <c:pt idx="108">
                  <c:v>4.8</c:v>
                </c:pt>
                <c:pt idx="109">
                  <c:v>4.8</c:v>
                </c:pt>
                <c:pt idx="110">
                  <c:v>4.8</c:v>
                </c:pt>
                <c:pt idx="111">
                  <c:v>4.8</c:v>
                </c:pt>
                <c:pt idx="112">
                  <c:v>4.8</c:v>
                </c:pt>
                <c:pt idx="113">
                  <c:v>4.9000000000000004</c:v>
                </c:pt>
                <c:pt idx="114">
                  <c:v>4.9000000000000004</c:v>
                </c:pt>
                <c:pt idx="115">
                  <c:v>4.9000000000000004</c:v>
                </c:pt>
                <c:pt idx="116">
                  <c:v>4.9000000000000004</c:v>
                </c:pt>
                <c:pt idx="117">
                  <c:v>4.9000000000000004</c:v>
                </c:pt>
                <c:pt idx="118">
                  <c:v>4.9000000000000004</c:v>
                </c:pt>
                <c:pt idx="119">
                  <c:v>5</c:v>
                </c:pt>
                <c:pt idx="120">
                  <c:v>5</c:v>
                </c:pt>
                <c:pt idx="121">
                  <c:v>5</c:v>
                </c:pt>
                <c:pt idx="122">
                  <c:v>5</c:v>
                </c:pt>
                <c:pt idx="123">
                  <c:v>5</c:v>
                </c:pt>
                <c:pt idx="124">
                  <c:v>5</c:v>
                </c:pt>
                <c:pt idx="125">
                  <c:v>5.0999999999999996</c:v>
                </c:pt>
                <c:pt idx="126">
                  <c:v>5.0999999999999996</c:v>
                </c:pt>
                <c:pt idx="127">
                  <c:v>5.0999999999999996</c:v>
                </c:pt>
                <c:pt idx="128">
                  <c:v>5.0999999999999996</c:v>
                </c:pt>
                <c:pt idx="129">
                  <c:v>5.0999999999999996</c:v>
                </c:pt>
                <c:pt idx="130">
                  <c:v>5.2</c:v>
                </c:pt>
                <c:pt idx="131">
                  <c:v>5.2</c:v>
                </c:pt>
                <c:pt idx="132">
                  <c:v>5.2</c:v>
                </c:pt>
                <c:pt idx="133">
                  <c:v>5.2</c:v>
                </c:pt>
                <c:pt idx="134">
                  <c:v>5.2</c:v>
                </c:pt>
                <c:pt idx="135">
                  <c:v>5.3</c:v>
                </c:pt>
                <c:pt idx="136">
                  <c:v>5.3</c:v>
                </c:pt>
                <c:pt idx="137">
                  <c:v>5.3</c:v>
                </c:pt>
                <c:pt idx="138">
                  <c:v>5.3</c:v>
                </c:pt>
                <c:pt idx="139">
                  <c:v>5.4</c:v>
                </c:pt>
                <c:pt idx="140">
                  <c:v>5.4</c:v>
                </c:pt>
                <c:pt idx="141">
                  <c:v>5.4</c:v>
                </c:pt>
                <c:pt idx="142">
                  <c:v>5.4</c:v>
                </c:pt>
                <c:pt idx="143">
                  <c:v>5.5</c:v>
                </c:pt>
                <c:pt idx="144">
                  <c:v>5.5</c:v>
                </c:pt>
                <c:pt idx="145">
                  <c:v>5.5</c:v>
                </c:pt>
                <c:pt idx="146">
                  <c:v>5.6</c:v>
                </c:pt>
                <c:pt idx="147">
                  <c:v>5.6</c:v>
                </c:pt>
                <c:pt idx="148">
                  <c:v>5.6</c:v>
                </c:pt>
                <c:pt idx="149">
                  <c:v>5.7</c:v>
                </c:pt>
                <c:pt idx="150">
                  <c:v>5.7</c:v>
                </c:pt>
                <c:pt idx="151">
                  <c:v>5.8</c:v>
                </c:pt>
                <c:pt idx="152">
                  <c:v>5.8</c:v>
                </c:pt>
                <c:pt idx="153">
                  <c:v>5.8</c:v>
                </c:pt>
                <c:pt idx="154">
                  <c:v>5.9</c:v>
                </c:pt>
                <c:pt idx="155">
                  <c:v>5.9</c:v>
                </c:pt>
                <c:pt idx="156">
                  <c:v>6</c:v>
                </c:pt>
                <c:pt idx="157">
                  <c:v>6</c:v>
                </c:pt>
                <c:pt idx="158">
                  <c:v>6.1</c:v>
                </c:pt>
                <c:pt idx="159">
                  <c:v>6.1</c:v>
                </c:pt>
                <c:pt idx="160">
                  <c:v>6.2</c:v>
                </c:pt>
                <c:pt idx="161">
                  <c:v>6.2</c:v>
                </c:pt>
                <c:pt idx="162">
                  <c:v>6.3</c:v>
                </c:pt>
                <c:pt idx="163">
                  <c:v>6.4</c:v>
                </c:pt>
                <c:pt idx="164">
                  <c:v>6.4</c:v>
                </c:pt>
                <c:pt idx="165">
                  <c:v>6.5</c:v>
                </c:pt>
                <c:pt idx="166">
                  <c:v>6.6</c:v>
                </c:pt>
                <c:pt idx="167">
                  <c:v>6.6</c:v>
                </c:pt>
                <c:pt idx="168">
                  <c:v>6.7</c:v>
                </c:pt>
                <c:pt idx="169">
                  <c:v>6.8</c:v>
                </c:pt>
                <c:pt idx="170">
                  <c:v>6.9</c:v>
                </c:pt>
                <c:pt idx="171">
                  <c:v>7</c:v>
                </c:pt>
                <c:pt idx="172">
                  <c:v>7.1</c:v>
                </c:pt>
                <c:pt idx="173">
                  <c:v>7.2</c:v>
                </c:pt>
                <c:pt idx="174">
                  <c:v>7.3</c:v>
                </c:pt>
                <c:pt idx="175">
                  <c:v>7.4</c:v>
                </c:pt>
                <c:pt idx="176">
                  <c:v>7.5</c:v>
                </c:pt>
                <c:pt idx="177">
                  <c:v>7.7</c:v>
                </c:pt>
                <c:pt idx="178">
                  <c:v>7.8</c:v>
                </c:pt>
                <c:pt idx="179">
                  <c:v>8</c:v>
                </c:pt>
                <c:pt idx="180">
                  <c:v>8.1</c:v>
                </c:pt>
                <c:pt idx="181">
                  <c:v>8.3000000000000007</c:v>
                </c:pt>
                <c:pt idx="182">
                  <c:v>8.4</c:v>
                </c:pt>
                <c:pt idx="183">
                  <c:v>8.6</c:v>
                </c:pt>
                <c:pt idx="184">
                  <c:v>8.8000000000000007</c:v>
                </c:pt>
                <c:pt idx="185">
                  <c:v>9</c:v>
                </c:pt>
                <c:pt idx="186">
                  <c:v>9.3000000000000007</c:v>
                </c:pt>
                <c:pt idx="187">
                  <c:v>9.5</c:v>
                </c:pt>
                <c:pt idx="188">
                  <c:v>9.6999999999999993</c:v>
                </c:pt>
                <c:pt idx="189">
                  <c:v>10</c:v>
                </c:pt>
                <c:pt idx="190">
                  <c:v>10.3</c:v>
                </c:pt>
                <c:pt idx="191">
                  <c:v>10.6</c:v>
                </c:pt>
                <c:pt idx="192">
                  <c:v>10.9</c:v>
                </c:pt>
                <c:pt idx="193">
                  <c:v>11.3</c:v>
                </c:pt>
                <c:pt idx="194">
                  <c:v>11.6</c:v>
                </c:pt>
                <c:pt idx="195">
                  <c:v>12</c:v>
                </c:pt>
                <c:pt idx="196">
                  <c:v>12.4</c:v>
                </c:pt>
                <c:pt idx="197">
                  <c:v>12.8</c:v>
                </c:pt>
                <c:pt idx="198">
                  <c:v>13.3</c:v>
                </c:pt>
                <c:pt idx="199">
                  <c:v>13.7</c:v>
                </c:pt>
                <c:pt idx="200">
                  <c:v>14.2</c:v>
                </c:pt>
                <c:pt idx="201">
                  <c:v>14.7</c:v>
                </c:pt>
                <c:pt idx="202">
                  <c:v>15.2</c:v>
                </c:pt>
                <c:pt idx="203">
                  <c:v>15.7</c:v>
                </c:pt>
                <c:pt idx="204">
                  <c:v>16.2</c:v>
                </c:pt>
                <c:pt idx="205">
                  <c:v>16.7</c:v>
                </c:pt>
                <c:pt idx="206">
                  <c:v>17.100000000000001</c:v>
                </c:pt>
                <c:pt idx="207">
                  <c:v>17.600000000000001</c:v>
                </c:pt>
                <c:pt idx="208">
                  <c:v>18</c:v>
                </c:pt>
                <c:pt idx="209">
                  <c:v>18.399999999999999</c:v>
                </c:pt>
                <c:pt idx="210">
                  <c:v>18.7</c:v>
                </c:pt>
                <c:pt idx="211">
                  <c:v>19</c:v>
                </c:pt>
                <c:pt idx="212">
                  <c:v>19.2</c:v>
                </c:pt>
                <c:pt idx="213">
                  <c:v>19.3</c:v>
                </c:pt>
                <c:pt idx="214">
                  <c:v>19.399999999999999</c:v>
                </c:pt>
                <c:pt idx="215">
                  <c:v>19.3</c:v>
                </c:pt>
                <c:pt idx="216">
                  <c:v>19.2</c:v>
                </c:pt>
                <c:pt idx="217">
                  <c:v>19.100000000000001</c:v>
                </c:pt>
                <c:pt idx="218">
                  <c:v>18.899999999999999</c:v>
                </c:pt>
                <c:pt idx="219">
                  <c:v>18.600000000000001</c:v>
                </c:pt>
                <c:pt idx="220">
                  <c:v>18.3</c:v>
                </c:pt>
                <c:pt idx="221">
                  <c:v>18</c:v>
                </c:pt>
                <c:pt idx="222">
                  <c:v>17.7</c:v>
                </c:pt>
                <c:pt idx="223">
                  <c:v>17.3</c:v>
                </c:pt>
                <c:pt idx="224">
                  <c:v>16.899999999999999</c:v>
                </c:pt>
                <c:pt idx="225">
                  <c:v>16.600000000000001</c:v>
                </c:pt>
                <c:pt idx="226">
                  <c:v>16.2</c:v>
                </c:pt>
                <c:pt idx="227">
                  <c:v>15.8</c:v>
                </c:pt>
                <c:pt idx="228">
                  <c:v>15.5</c:v>
                </c:pt>
                <c:pt idx="229">
                  <c:v>15.2</c:v>
                </c:pt>
                <c:pt idx="230">
                  <c:v>14.8</c:v>
                </c:pt>
                <c:pt idx="231">
                  <c:v>14.5</c:v>
                </c:pt>
                <c:pt idx="232">
                  <c:v>14.2</c:v>
                </c:pt>
                <c:pt idx="233">
                  <c:v>13.9</c:v>
                </c:pt>
                <c:pt idx="234">
                  <c:v>13.6</c:v>
                </c:pt>
                <c:pt idx="235">
                  <c:v>13.3</c:v>
                </c:pt>
                <c:pt idx="236">
                  <c:v>13.1</c:v>
                </c:pt>
                <c:pt idx="237">
                  <c:v>12.9</c:v>
                </c:pt>
                <c:pt idx="238">
                  <c:v>12.6</c:v>
                </c:pt>
                <c:pt idx="239">
                  <c:v>12.4</c:v>
                </c:pt>
                <c:pt idx="240">
                  <c:v>12.2</c:v>
                </c:pt>
                <c:pt idx="241">
                  <c:v>12</c:v>
                </c:pt>
                <c:pt idx="242">
                  <c:v>11.9</c:v>
                </c:pt>
                <c:pt idx="243">
                  <c:v>11.7</c:v>
                </c:pt>
                <c:pt idx="244">
                  <c:v>11.5</c:v>
                </c:pt>
                <c:pt idx="245">
                  <c:v>11.4</c:v>
                </c:pt>
                <c:pt idx="246">
                  <c:v>11.2</c:v>
                </c:pt>
                <c:pt idx="247">
                  <c:v>11.1</c:v>
                </c:pt>
                <c:pt idx="248">
                  <c:v>11</c:v>
                </c:pt>
                <c:pt idx="249">
                  <c:v>10.9</c:v>
                </c:pt>
                <c:pt idx="250">
                  <c:v>10.8</c:v>
                </c:pt>
                <c:pt idx="251">
                  <c:v>10.7</c:v>
                </c:pt>
                <c:pt idx="252">
                  <c:v>10.6</c:v>
                </c:pt>
                <c:pt idx="253">
                  <c:v>10.5</c:v>
                </c:pt>
                <c:pt idx="254">
                  <c:v>10.4</c:v>
                </c:pt>
                <c:pt idx="255">
                  <c:v>10.3</c:v>
                </c:pt>
                <c:pt idx="256">
                  <c:v>10.199999999999999</c:v>
                </c:pt>
                <c:pt idx="257">
                  <c:v>10.199999999999999</c:v>
                </c:pt>
                <c:pt idx="258">
                  <c:v>10.1</c:v>
                </c:pt>
                <c:pt idx="259">
                  <c:v>10.1</c:v>
                </c:pt>
                <c:pt idx="260">
                  <c:v>10</c:v>
                </c:pt>
                <c:pt idx="261">
                  <c:v>9.9</c:v>
                </c:pt>
                <c:pt idx="262">
                  <c:v>9.9</c:v>
                </c:pt>
                <c:pt idx="263">
                  <c:v>9.9</c:v>
                </c:pt>
                <c:pt idx="264">
                  <c:v>9.8000000000000007</c:v>
                </c:pt>
                <c:pt idx="265">
                  <c:v>9.8000000000000007</c:v>
                </c:pt>
                <c:pt idx="266">
                  <c:v>9.6999999999999993</c:v>
                </c:pt>
                <c:pt idx="267">
                  <c:v>9.6999999999999993</c:v>
                </c:pt>
                <c:pt idx="268">
                  <c:v>9.6999999999999993</c:v>
                </c:pt>
                <c:pt idx="269">
                  <c:v>9.6999999999999993</c:v>
                </c:pt>
                <c:pt idx="270">
                  <c:v>9.6</c:v>
                </c:pt>
                <c:pt idx="271">
                  <c:v>9.6</c:v>
                </c:pt>
                <c:pt idx="272">
                  <c:v>9.6</c:v>
                </c:pt>
                <c:pt idx="273">
                  <c:v>9.6</c:v>
                </c:pt>
                <c:pt idx="274">
                  <c:v>9.6</c:v>
                </c:pt>
                <c:pt idx="275">
                  <c:v>9.6</c:v>
                </c:pt>
                <c:pt idx="276">
                  <c:v>9.5</c:v>
                </c:pt>
                <c:pt idx="277">
                  <c:v>9.5</c:v>
                </c:pt>
                <c:pt idx="278">
                  <c:v>9.5</c:v>
                </c:pt>
                <c:pt idx="279">
                  <c:v>9.5</c:v>
                </c:pt>
                <c:pt idx="280">
                  <c:v>9.5</c:v>
                </c:pt>
                <c:pt idx="281">
                  <c:v>9.5</c:v>
                </c:pt>
                <c:pt idx="282">
                  <c:v>9.5</c:v>
                </c:pt>
                <c:pt idx="283">
                  <c:v>9.5</c:v>
                </c:pt>
                <c:pt idx="284">
                  <c:v>9.5</c:v>
                </c:pt>
                <c:pt idx="285">
                  <c:v>9.5</c:v>
                </c:pt>
                <c:pt idx="286">
                  <c:v>9.5</c:v>
                </c:pt>
                <c:pt idx="287">
                  <c:v>9.5</c:v>
                </c:pt>
                <c:pt idx="288">
                  <c:v>9.5</c:v>
                </c:pt>
                <c:pt idx="289">
                  <c:v>9.6</c:v>
                </c:pt>
                <c:pt idx="290">
                  <c:v>9.6</c:v>
                </c:pt>
                <c:pt idx="291">
                  <c:v>9.6</c:v>
                </c:pt>
                <c:pt idx="292">
                  <c:v>9.6</c:v>
                </c:pt>
                <c:pt idx="293">
                  <c:v>9.6</c:v>
                </c:pt>
                <c:pt idx="294">
                  <c:v>9.6</c:v>
                </c:pt>
                <c:pt idx="295">
                  <c:v>9.6</c:v>
                </c:pt>
                <c:pt idx="296">
                  <c:v>9.6</c:v>
                </c:pt>
                <c:pt idx="297">
                  <c:v>9.6999999999999993</c:v>
                </c:pt>
                <c:pt idx="298">
                  <c:v>9.6999999999999993</c:v>
                </c:pt>
                <c:pt idx="299">
                  <c:v>9.6999999999999993</c:v>
                </c:pt>
                <c:pt idx="300">
                  <c:v>9.6999999999999993</c:v>
                </c:pt>
                <c:pt idx="301">
                  <c:v>9.6999999999999993</c:v>
                </c:pt>
                <c:pt idx="302">
                  <c:v>9.8000000000000007</c:v>
                </c:pt>
                <c:pt idx="303">
                  <c:v>9.8000000000000007</c:v>
                </c:pt>
                <c:pt idx="304">
                  <c:v>9.8000000000000007</c:v>
                </c:pt>
                <c:pt idx="305">
                  <c:v>9.8000000000000007</c:v>
                </c:pt>
                <c:pt idx="306">
                  <c:v>9.9</c:v>
                </c:pt>
                <c:pt idx="307">
                  <c:v>9.9</c:v>
                </c:pt>
                <c:pt idx="308">
                  <c:v>9.9</c:v>
                </c:pt>
                <c:pt idx="309">
                  <c:v>9.9</c:v>
                </c:pt>
                <c:pt idx="310">
                  <c:v>10</c:v>
                </c:pt>
                <c:pt idx="311">
                  <c:v>10</c:v>
                </c:pt>
                <c:pt idx="312">
                  <c:v>10</c:v>
                </c:pt>
                <c:pt idx="313">
                  <c:v>10.1</c:v>
                </c:pt>
                <c:pt idx="314">
                  <c:v>10.1</c:v>
                </c:pt>
                <c:pt idx="315">
                  <c:v>10.1</c:v>
                </c:pt>
                <c:pt idx="316">
                  <c:v>10.199999999999999</c:v>
                </c:pt>
                <c:pt idx="317">
                  <c:v>10.199999999999999</c:v>
                </c:pt>
                <c:pt idx="318">
                  <c:v>10.199999999999999</c:v>
                </c:pt>
                <c:pt idx="319">
                  <c:v>10.3</c:v>
                </c:pt>
                <c:pt idx="320">
                  <c:v>10.3</c:v>
                </c:pt>
                <c:pt idx="321">
                  <c:v>10.3</c:v>
                </c:pt>
                <c:pt idx="322">
                  <c:v>10.4</c:v>
                </c:pt>
                <c:pt idx="323">
                  <c:v>10.4</c:v>
                </c:pt>
                <c:pt idx="324">
                  <c:v>10.5</c:v>
                </c:pt>
                <c:pt idx="325">
                  <c:v>10.5</c:v>
                </c:pt>
                <c:pt idx="326">
                  <c:v>10.5</c:v>
                </c:pt>
                <c:pt idx="327">
                  <c:v>10.6</c:v>
                </c:pt>
                <c:pt idx="328">
                  <c:v>10.6</c:v>
                </c:pt>
                <c:pt idx="329">
                  <c:v>10.7</c:v>
                </c:pt>
                <c:pt idx="330">
                  <c:v>10.7</c:v>
                </c:pt>
                <c:pt idx="331">
                  <c:v>10.8</c:v>
                </c:pt>
                <c:pt idx="332">
                  <c:v>10.8</c:v>
                </c:pt>
                <c:pt idx="333">
                  <c:v>10.9</c:v>
                </c:pt>
                <c:pt idx="334">
                  <c:v>10.9</c:v>
                </c:pt>
                <c:pt idx="335">
                  <c:v>11</c:v>
                </c:pt>
                <c:pt idx="336">
                  <c:v>11</c:v>
                </c:pt>
                <c:pt idx="337">
                  <c:v>11.1</c:v>
                </c:pt>
                <c:pt idx="338">
                  <c:v>11.1</c:v>
                </c:pt>
                <c:pt idx="339">
                  <c:v>11.2</c:v>
                </c:pt>
                <c:pt idx="340">
                  <c:v>11.2</c:v>
                </c:pt>
                <c:pt idx="341">
                  <c:v>11.3</c:v>
                </c:pt>
                <c:pt idx="342">
                  <c:v>11.3</c:v>
                </c:pt>
                <c:pt idx="343">
                  <c:v>11.4</c:v>
                </c:pt>
                <c:pt idx="344">
                  <c:v>11.4</c:v>
                </c:pt>
                <c:pt idx="345">
                  <c:v>11.5</c:v>
                </c:pt>
                <c:pt idx="346">
                  <c:v>11.5</c:v>
                </c:pt>
                <c:pt idx="347">
                  <c:v>11.6</c:v>
                </c:pt>
                <c:pt idx="348">
                  <c:v>11.7</c:v>
                </c:pt>
                <c:pt idx="349">
                  <c:v>11.7</c:v>
                </c:pt>
                <c:pt idx="350">
                  <c:v>11.8</c:v>
                </c:pt>
                <c:pt idx="351">
                  <c:v>11.9</c:v>
                </c:pt>
                <c:pt idx="352">
                  <c:v>11.9</c:v>
                </c:pt>
                <c:pt idx="353">
                  <c:v>12</c:v>
                </c:pt>
                <c:pt idx="354">
                  <c:v>12</c:v>
                </c:pt>
                <c:pt idx="355">
                  <c:v>12.1</c:v>
                </c:pt>
                <c:pt idx="356">
                  <c:v>12.2</c:v>
                </c:pt>
                <c:pt idx="357">
                  <c:v>12.2</c:v>
                </c:pt>
                <c:pt idx="358">
                  <c:v>12.3</c:v>
                </c:pt>
                <c:pt idx="359">
                  <c:v>12.4</c:v>
                </c:pt>
                <c:pt idx="360">
                  <c:v>12.5</c:v>
                </c:pt>
                <c:pt idx="361">
                  <c:v>12.5</c:v>
                </c:pt>
                <c:pt idx="362">
                  <c:v>12.6</c:v>
                </c:pt>
                <c:pt idx="363">
                  <c:v>12.7</c:v>
                </c:pt>
                <c:pt idx="364">
                  <c:v>12.8</c:v>
                </c:pt>
                <c:pt idx="365">
                  <c:v>12.8</c:v>
                </c:pt>
                <c:pt idx="366">
                  <c:v>12.9</c:v>
                </c:pt>
                <c:pt idx="367">
                  <c:v>13</c:v>
                </c:pt>
                <c:pt idx="368">
                  <c:v>13.1</c:v>
                </c:pt>
                <c:pt idx="369">
                  <c:v>13.1</c:v>
                </c:pt>
                <c:pt idx="370">
                  <c:v>13.2</c:v>
                </c:pt>
                <c:pt idx="371">
                  <c:v>13.3</c:v>
                </c:pt>
                <c:pt idx="372">
                  <c:v>13.4</c:v>
                </c:pt>
                <c:pt idx="373">
                  <c:v>13.5</c:v>
                </c:pt>
                <c:pt idx="374">
                  <c:v>13.6</c:v>
                </c:pt>
                <c:pt idx="375">
                  <c:v>13.7</c:v>
                </c:pt>
                <c:pt idx="376">
                  <c:v>13.8</c:v>
                </c:pt>
                <c:pt idx="377">
                  <c:v>13.8</c:v>
                </c:pt>
                <c:pt idx="378">
                  <c:v>13.9</c:v>
                </c:pt>
                <c:pt idx="379">
                  <c:v>14</c:v>
                </c:pt>
                <c:pt idx="380">
                  <c:v>14.1</c:v>
                </c:pt>
                <c:pt idx="381">
                  <c:v>14.2</c:v>
                </c:pt>
                <c:pt idx="382">
                  <c:v>14.3</c:v>
                </c:pt>
                <c:pt idx="383">
                  <c:v>14.4</c:v>
                </c:pt>
                <c:pt idx="384">
                  <c:v>14.5</c:v>
                </c:pt>
                <c:pt idx="385">
                  <c:v>14.6</c:v>
                </c:pt>
                <c:pt idx="386">
                  <c:v>14.7</c:v>
                </c:pt>
                <c:pt idx="387">
                  <c:v>14.8</c:v>
                </c:pt>
                <c:pt idx="388">
                  <c:v>14.9</c:v>
                </c:pt>
                <c:pt idx="389">
                  <c:v>15.1</c:v>
                </c:pt>
                <c:pt idx="390">
                  <c:v>15.2</c:v>
                </c:pt>
                <c:pt idx="391">
                  <c:v>15.3</c:v>
                </c:pt>
                <c:pt idx="392">
                  <c:v>15.4</c:v>
                </c:pt>
                <c:pt idx="393">
                  <c:v>15.5</c:v>
                </c:pt>
                <c:pt idx="394">
                  <c:v>15.6</c:v>
                </c:pt>
                <c:pt idx="395">
                  <c:v>15.8</c:v>
                </c:pt>
                <c:pt idx="396">
                  <c:v>15.9</c:v>
                </c:pt>
                <c:pt idx="397">
                  <c:v>16</c:v>
                </c:pt>
                <c:pt idx="398">
                  <c:v>16.100000000000001</c:v>
                </c:pt>
                <c:pt idx="399">
                  <c:v>16.3</c:v>
                </c:pt>
                <c:pt idx="400">
                  <c:v>16.399999999999999</c:v>
                </c:pt>
                <c:pt idx="401">
                  <c:v>16.5</c:v>
                </c:pt>
                <c:pt idx="402">
                  <c:v>16.7</c:v>
                </c:pt>
                <c:pt idx="403">
                  <c:v>16.8</c:v>
                </c:pt>
                <c:pt idx="404">
                  <c:v>16.899999999999999</c:v>
                </c:pt>
                <c:pt idx="405">
                  <c:v>17.100000000000001</c:v>
                </c:pt>
                <c:pt idx="406">
                  <c:v>17.2</c:v>
                </c:pt>
                <c:pt idx="407">
                  <c:v>17.399999999999999</c:v>
                </c:pt>
                <c:pt idx="408">
                  <c:v>17.5</c:v>
                </c:pt>
                <c:pt idx="409">
                  <c:v>17.7</c:v>
                </c:pt>
                <c:pt idx="410">
                  <c:v>17.8</c:v>
                </c:pt>
                <c:pt idx="411">
                  <c:v>18</c:v>
                </c:pt>
                <c:pt idx="412">
                  <c:v>18.2</c:v>
                </c:pt>
                <c:pt idx="413">
                  <c:v>18.3</c:v>
                </c:pt>
                <c:pt idx="414">
                  <c:v>18.5</c:v>
                </c:pt>
                <c:pt idx="415">
                  <c:v>18.7</c:v>
                </c:pt>
                <c:pt idx="416">
                  <c:v>18.8</c:v>
                </c:pt>
                <c:pt idx="417">
                  <c:v>19</c:v>
                </c:pt>
                <c:pt idx="418">
                  <c:v>19.2</c:v>
                </c:pt>
                <c:pt idx="419">
                  <c:v>19.399999999999999</c:v>
                </c:pt>
                <c:pt idx="420">
                  <c:v>19.600000000000001</c:v>
                </c:pt>
                <c:pt idx="421">
                  <c:v>19.8</c:v>
                </c:pt>
                <c:pt idx="422">
                  <c:v>19.899999999999999</c:v>
                </c:pt>
                <c:pt idx="423">
                  <c:v>20.100000000000001</c:v>
                </c:pt>
                <c:pt idx="424">
                  <c:v>20.3</c:v>
                </c:pt>
                <c:pt idx="425">
                  <c:v>20.6</c:v>
                </c:pt>
                <c:pt idx="426">
                  <c:v>20.8</c:v>
                </c:pt>
                <c:pt idx="427">
                  <c:v>21</c:v>
                </c:pt>
                <c:pt idx="428">
                  <c:v>21.2</c:v>
                </c:pt>
                <c:pt idx="429">
                  <c:v>21.4</c:v>
                </c:pt>
                <c:pt idx="430">
                  <c:v>21.6</c:v>
                </c:pt>
                <c:pt idx="431">
                  <c:v>21.9</c:v>
                </c:pt>
                <c:pt idx="432">
                  <c:v>22.1</c:v>
                </c:pt>
                <c:pt idx="433">
                  <c:v>22.4</c:v>
                </c:pt>
                <c:pt idx="434">
                  <c:v>22.6</c:v>
                </c:pt>
                <c:pt idx="435">
                  <c:v>22.8</c:v>
                </c:pt>
                <c:pt idx="436">
                  <c:v>23.1</c:v>
                </c:pt>
                <c:pt idx="437">
                  <c:v>23.4</c:v>
                </c:pt>
                <c:pt idx="438">
                  <c:v>23.6</c:v>
                </c:pt>
                <c:pt idx="439">
                  <c:v>23.9</c:v>
                </c:pt>
                <c:pt idx="440">
                  <c:v>24.2</c:v>
                </c:pt>
                <c:pt idx="441">
                  <c:v>24.5</c:v>
                </c:pt>
                <c:pt idx="442">
                  <c:v>24.8</c:v>
                </c:pt>
                <c:pt idx="443">
                  <c:v>25.1</c:v>
                </c:pt>
                <c:pt idx="444">
                  <c:v>25.4</c:v>
                </c:pt>
                <c:pt idx="445">
                  <c:v>25.7</c:v>
                </c:pt>
                <c:pt idx="446">
                  <c:v>26</c:v>
                </c:pt>
                <c:pt idx="447">
                  <c:v>26.3</c:v>
                </c:pt>
                <c:pt idx="448">
                  <c:v>26.7</c:v>
                </c:pt>
                <c:pt idx="449">
                  <c:v>27</c:v>
                </c:pt>
                <c:pt idx="450">
                  <c:v>27.4</c:v>
                </c:pt>
                <c:pt idx="451">
                  <c:v>27.7</c:v>
                </c:pt>
                <c:pt idx="452">
                  <c:v>28.1</c:v>
                </c:pt>
                <c:pt idx="453">
                  <c:v>28.5</c:v>
                </c:pt>
                <c:pt idx="454">
                  <c:v>28.8</c:v>
                </c:pt>
                <c:pt idx="455">
                  <c:v>29.2</c:v>
                </c:pt>
                <c:pt idx="456">
                  <c:v>29.7</c:v>
                </c:pt>
                <c:pt idx="457">
                  <c:v>30.1</c:v>
                </c:pt>
                <c:pt idx="458">
                  <c:v>30.5</c:v>
                </c:pt>
                <c:pt idx="459">
                  <c:v>30.9</c:v>
                </c:pt>
                <c:pt idx="460">
                  <c:v>31.4</c:v>
                </c:pt>
                <c:pt idx="461">
                  <c:v>31.8</c:v>
                </c:pt>
                <c:pt idx="462">
                  <c:v>32.299999999999997</c:v>
                </c:pt>
                <c:pt idx="463">
                  <c:v>32.799999999999997</c:v>
                </c:pt>
                <c:pt idx="464">
                  <c:v>33.299999999999997</c:v>
                </c:pt>
                <c:pt idx="465">
                  <c:v>33.799999999999997</c:v>
                </c:pt>
                <c:pt idx="466">
                  <c:v>34.4</c:v>
                </c:pt>
                <c:pt idx="467">
                  <c:v>34.9</c:v>
                </c:pt>
                <c:pt idx="468">
                  <c:v>35.5</c:v>
                </c:pt>
                <c:pt idx="469">
                  <c:v>36</c:v>
                </c:pt>
                <c:pt idx="470">
                  <c:v>36.6</c:v>
                </c:pt>
                <c:pt idx="471">
                  <c:v>37.200000000000003</c:v>
                </c:pt>
                <c:pt idx="472">
                  <c:v>37.9</c:v>
                </c:pt>
                <c:pt idx="473">
                  <c:v>38.5</c:v>
                </c:pt>
                <c:pt idx="474">
                  <c:v>39.200000000000003</c:v>
                </c:pt>
                <c:pt idx="475">
                  <c:v>39.9</c:v>
                </c:pt>
                <c:pt idx="476">
                  <c:v>40.6</c:v>
                </c:pt>
                <c:pt idx="477">
                  <c:v>41.3</c:v>
                </c:pt>
                <c:pt idx="478">
                  <c:v>42.1</c:v>
                </c:pt>
                <c:pt idx="479">
                  <c:v>42.9</c:v>
                </c:pt>
                <c:pt idx="480">
                  <c:v>43.7</c:v>
                </c:pt>
                <c:pt idx="481">
                  <c:v>44.6</c:v>
                </c:pt>
                <c:pt idx="482">
                  <c:v>45.4</c:v>
                </c:pt>
                <c:pt idx="483">
                  <c:v>46.3</c:v>
                </c:pt>
                <c:pt idx="484">
                  <c:v>47.3</c:v>
                </c:pt>
                <c:pt idx="485">
                  <c:v>48.3</c:v>
                </c:pt>
                <c:pt idx="486">
                  <c:v>49.3</c:v>
                </c:pt>
                <c:pt idx="487">
                  <c:v>50.4</c:v>
                </c:pt>
                <c:pt idx="488">
                  <c:v>51.5</c:v>
                </c:pt>
                <c:pt idx="489">
                  <c:v>52.6</c:v>
                </c:pt>
                <c:pt idx="490">
                  <c:v>53.8</c:v>
                </c:pt>
                <c:pt idx="491">
                  <c:v>55.1</c:v>
                </c:pt>
                <c:pt idx="492">
                  <c:v>56.4</c:v>
                </c:pt>
                <c:pt idx="493">
                  <c:v>57.8</c:v>
                </c:pt>
                <c:pt idx="494">
                  <c:v>59.3</c:v>
                </c:pt>
                <c:pt idx="495">
                  <c:v>60.9</c:v>
                </c:pt>
                <c:pt idx="496">
                  <c:v>62.5</c:v>
                </c:pt>
                <c:pt idx="497">
                  <c:v>64.2</c:v>
                </c:pt>
                <c:pt idx="498">
                  <c:v>66</c:v>
                </c:pt>
                <c:pt idx="499">
                  <c:v>68</c:v>
                </c:pt>
                <c:pt idx="500">
                  <c:v>70</c:v>
                </c:pt>
                <c:pt idx="501">
                  <c:v>72.2</c:v>
                </c:pt>
                <c:pt idx="502">
                  <c:v>74.5</c:v>
                </c:pt>
                <c:pt idx="503">
                  <c:v>77</c:v>
                </c:pt>
                <c:pt idx="504">
                  <c:v>79.599999999999994</c:v>
                </c:pt>
                <c:pt idx="505">
                  <c:v>82.5</c:v>
                </c:pt>
                <c:pt idx="506">
                  <c:v>85.5</c:v>
                </c:pt>
                <c:pt idx="507">
                  <c:v>88.6</c:v>
                </c:pt>
                <c:pt idx="508">
                  <c:v>92.1</c:v>
                </c:pt>
                <c:pt idx="509">
                  <c:v>95.9</c:v>
                </c:pt>
                <c:pt idx="510">
                  <c:v>100.1</c:v>
                </c:pt>
                <c:pt idx="511">
                  <c:v>104.2</c:v>
                </c:pt>
                <c:pt idx="512">
                  <c:v>108.5</c:v>
                </c:pt>
                <c:pt idx="513">
                  <c:v>113.4</c:v>
                </c:pt>
                <c:pt idx="514">
                  <c:v>118.8</c:v>
                </c:pt>
                <c:pt idx="515">
                  <c:v>124.9</c:v>
                </c:pt>
                <c:pt idx="516">
                  <c:v>130.6</c:v>
                </c:pt>
                <c:pt idx="517">
                  <c:v>136.19999999999999</c:v>
                </c:pt>
                <c:pt idx="518">
                  <c:v>142.6</c:v>
                </c:pt>
                <c:pt idx="519">
                  <c:v>149.80000000000001</c:v>
                </c:pt>
                <c:pt idx="520">
                  <c:v>157.9</c:v>
                </c:pt>
                <c:pt idx="521">
                  <c:v>165.7</c:v>
                </c:pt>
                <c:pt idx="522">
                  <c:v>172</c:v>
                </c:pt>
                <c:pt idx="523">
                  <c:v>179.2</c:v>
                </c:pt>
                <c:pt idx="524">
                  <c:v>187.4</c:v>
                </c:pt>
                <c:pt idx="525">
                  <c:v>196.6</c:v>
                </c:pt>
                <c:pt idx="526">
                  <c:v>205.8</c:v>
                </c:pt>
                <c:pt idx="527">
                  <c:v>211.7</c:v>
                </c:pt>
                <c:pt idx="528">
                  <c:v>218.1</c:v>
                </c:pt>
                <c:pt idx="529">
                  <c:v>225.3</c:v>
                </c:pt>
                <c:pt idx="530">
                  <c:v>233.3</c:v>
                </c:pt>
                <c:pt idx="531">
                  <c:v>241.2</c:v>
                </c:pt>
                <c:pt idx="532">
                  <c:v>245.9</c:v>
                </c:pt>
                <c:pt idx="533">
                  <c:v>249.7</c:v>
                </c:pt>
                <c:pt idx="534">
                  <c:v>254.1</c:v>
                </c:pt>
                <c:pt idx="535">
                  <c:v>258.60000000000002</c:v>
                </c:pt>
                <c:pt idx="536">
                  <c:v>262.89999999999998</c:v>
                </c:pt>
                <c:pt idx="537">
                  <c:v>265.89999999999998</c:v>
                </c:pt>
                <c:pt idx="538">
                  <c:v>267.60000000000002</c:v>
                </c:pt>
                <c:pt idx="539">
                  <c:v>269.3</c:v>
                </c:pt>
                <c:pt idx="540">
                  <c:v>271</c:v>
                </c:pt>
                <c:pt idx="541">
                  <c:v>272.60000000000002</c:v>
                </c:pt>
                <c:pt idx="542">
                  <c:v>273.8</c:v>
                </c:pt>
                <c:pt idx="543">
                  <c:v>274.60000000000002</c:v>
                </c:pt>
                <c:pt idx="544">
                  <c:v>275.3</c:v>
                </c:pt>
                <c:pt idx="545">
                  <c:v>275.89999999999998</c:v>
                </c:pt>
                <c:pt idx="546">
                  <c:v>276.39999999999998</c:v>
                </c:pt>
                <c:pt idx="547">
                  <c:v>276.89999999999998</c:v>
                </c:pt>
                <c:pt idx="548">
                  <c:v>277.3</c:v>
                </c:pt>
                <c:pt idx="549">
                  <c:v>277.7</c:v>
                </c:pt>
                <c:pt idx="550">
                  <c:v>278</c:v>
                </c:pt>
                <c:pt idx="551">
                  <c:v>278.3</c:v>
                </c:pt>
                <c:pt idx="552">
                  <c:v>278.5</c:v>
                </c:pt>
                <c:pt idx="553">
                  <c:v>278.7</c:v>
                </c:pt>
                <c:pt idx="554">
                  <c:v>278.89999999999998</c:v>
                </c:pt>
                <c:pt idx="555">
                  <c:v>279.10000000000002</c:v>
                </c:pt>
                <c:pt idx="556">
                  <c:v>279.3</c:v>
                </c:pt>
                <c:pt idx="557">
                  <c:v>279.39999999999998</c:v>
                </c:pt>
                <c:pt idx="558">
                  <c:v>279.60000000000002</c:v>
                </c:pt>
                <c:pt idx="559">
                  <c:v>279.7</c:v>
                </c:pt>
                <c:pt idx="560">
                  <c:v>279.8</c:v>
                </c:pt>
                <c:pt idx="561">
                  <c:v>279.89999999999998</c:v>
                </c:pt>
                <c:pt idx="562">
                  <c:v>280</c:v>
                </c:pt>
                <c:pt idx="563">
                  <c:v>280.10000000000002</c:v>
                </c:pt>
                <c:pt idx="564">
                  <c:v>280.2</c:v>
                </c:pt>
                <c:pt idx="565">
                  <c:v>280.3</c:v>
                </c:pt>
                <c:pt idx="566">
                  <c:v>280.3</c:v>
                </c:pt>
                <c:pt idx="567">
                  <c:v>280.39999999999998</c:v>
                </c:pt>
                <c:pt idx="568">
                  <c:v>280.5</c:v>
                </c:pt>
                <c:pt idx="569">
                  <c:v>280.5</c:v>
                </c:pt>
                <c:pt idx="570">
                  <c:v>280.60000000000002</c:v>
                </c:pt>
                <c:pt idx="571">
                  <c:v>280.60000000000002</c:v>
                </c:pt>
                <c:pt idx="572">
                  <c:v>280.7</c:v>
                </c:pt>
                <c:pt idx="573">
                  <c:v>280.7</c:v>
                </c:pt>
                <c:pt idx="574">
                  <c:v>280.8</c:v>
                </c:pt>
                <c:pt idx="575">
                  <c:v>280.8</c:v>
                </c:pt>
                <c:pt idx="576">
                  <c:v>280.8</c:v>
                </c:pt>
                <c:pt idx="577">
                  <c:v>280.8</c:v>
                </c:pt>
                <c:pt idx="578">
                  <c:v>280.89999999999998</c:v>
                </c:pt>
                <c:pt idx="579">
                  <c:v>280.89999999999998</c:v>
                </c:pt>
                <c:pt idx="580">
                  <c:v>280.89999999999998</c:v>
                </c:pt>
                <c:pt idx="581">
                  <c:v>280.89999999999998</c:v>
                </c:pt>
                <c:pt idx="582">
                  <c:v>280.89999999999998</c:v>
                </c:pt>
                <c:pt idx="583">
                  <c:v>281</c:v>
                </c:pt>
                <c:pt idx="584">
                  <c:v>281</c:v>
                </c:pt>
                <c:pt idx="585">
                  <c:v>281</c:v>
                </c:pt>
                <c:pt idx="586">
                  <c:v>281</c:v>
                </c:pt>
                <c:pt idx="587">
                  <c:v>281</c:v>
                </c:pt>
                <c:pt idx="588">
                  <c:v>281.10000000000002</c:v>
                </c:pt>
                <c:pt idx="589">
                  <c:v>281.10000000000002</c:v>
                </c:pt>
                <c:pt idx="590">
                  <c:v>281.10000000000002</c:v>
                </c:pt>
                <c:pt idx="591">
                  <c:v>281.10000000000002</c:v>
                </c:pt>
                <c:pt idx="592">
                  <c:v>281.10000000000002</c:v>
                </c:pt>
                <c:pt idx="593">
                  <c:v>281.10000000000002</c:v>
                </c:pt>
                <c:pt idx="594">
                  <c:v>281.10000000000002</c:v>
                </c:pt>
                <c:pt idx="595">
                  <c:v>281.10000000000002</c:v>
                </c:pt>
                <c:pt idx="596">
                  <c:v>281.10000000000002</c:v>
                </c:pt>
                <c:pt idx="597">
                  <c:v>281.10000000000002</c:v>
                </c:pt>
                <c:pt idx="598">
                  <c:v>281.10000000000002</c:v>
                </c:pt>
                <c:pt idx="599">
                  <c:v>281.10000000000002</c:v>
                </c:pt>
                <c:pt idx="600">
                  <c:v>281.10000000000002</c:v>
                </c:pt>
                <c:pt idx="601">
                  <c:v>281.10000000000002</c:v>
                </c:pt>
                <c:pt idx="602">
                  <c:v>281.10000000000002</c:v>
                </c:pt>
                <c:pt idx="603">
                  <c:v>281.10000000000002</c:v>
                </c:pt>
                <c:pt idx="604">
                  <c:v>281</c:v>
                </c:pt>
                <c:pt idx="605">
                  <c:v>281</c:v>
                </c:pt>
                <c:pt idx="606">
                  <c:v>281</c:v>
                </c:pt>
                <c:pt idx="607">
                  <c:v>281</c:v>
                </c:pt>
                <c:pt idx="608">
                  <c:v>281</c:v>
                </c:pt>
                <c:pt idx="609">
                  <c:v>280.89999999999998</c:v>
                </c:pt>
                <c:pt idx="610">
                  <c:v>280.89999999999998</c:v>
                </c:pt>
                <c:pt idx="611">
                  <c:v>280.89999999999998</c:v>
                </c:pt>
                <c:pt idx="612">
                  <c:v>280.8</c:v>
                </c:pt>
                <c:pt idx="613">
                  <c:v>280.8</c:v>
                </c:pt>
                <c:pt idx="614">
                  <c:v>280.7</c:v>
                </c:pt>
                <c:pt idx="615">
                  <c:v>280.60000000000002</c:v>
                </c:pt>
                <c:pt idx="616">
                  <c:v>280.5</c:v>
                </c:pt>
                <c:pt idx="617">
                  <c:v>280.39999999999998</c:v>
                </c:pt>
                <c:pt idx="618">
                  <c:v>280.3</c:v>
                </c:pt>
                <c:pt idx="619">
                  <c:v>280.2</c:v>
                </c:pt>
                <c:pt idx="620">
                  <c:v>280</c:v>
                </c:pt>
                <c:pt idx="621">
                  <c:v>279.8</c:v>
                </c:pt>
                <c:pt idx="622">
                  <c:v>279.7</c:v>
                </c:pt>
                <c:pt idx="623">
                  <c:v>279.5</c:v>
                </c:pt>
                <c:pt idx="624">
                  <c:v>279.2</c:v>
                </c:pt>
                <c:pt idx="625">
                  <c:v>279</c:v>
                </c:pt>
                <c:pt idx="626">
                  <c:v>278.7</c:v>
                </c:pt>
                <c:pt idx="627">
                  <c:v>278.39999999999998</c:v>
                </c:pt>
                <c:pt idx="628">
                  <c:v>278.10000000000002</c:v>
                </c:pt>
                <c:pt idx="629">
                  <c:v>277.7</c:v>
                </c:pt>
                <c:pt idx="630">
                  <c:v>277.3</c:v>
                </c:pt>
                <c:pt idx="631">
                  <c:v>276.89999999999998</c:v>
                </c:pt>
                <c:pt idx="632">
                  <c:v>276.39999999999998</c:v>
                </c:pt>
                <c:pt idx="633">
                  <c:v>275.7</c:v>
                </c:pt>
                <c:pt idx="634">
                  <c:v>274.89999999999998</c:v>
                </c:pt>
                <c:pt idx="635">
                  <c:v>274</c:v>
                </c:pt>
                <c:pt idx="636">
                  <c:v>273.10000000000002</c:v>
                </c:pt>
                <c:pt idx="637">
                  <c:v>272.10000000000002</c:v>
                </c:pt>
                <c:pt idx="638">
                  <c:v>270.2</c:v>
                </c:pt>
                <c:pt idx="639">
                  <c:v>267.89999999999998</c:v>
                </c:pt>
                <c:pt idx="640">
                  <c:v>265.39999999999998</c:v>
                </c:pt>
                <c:pt idx="641">
                  <c:v>263</c:v>
                </c:pt>
                <c:pt idx="642">
                  <c:v>260.8</c:v>
                </c:pt>
                <c:pt idx="643">
                  <c:v>256.60000000000002</c:v>
                </c:pt>
                <c:pt idx="644">
                  <c:v>251.2</c:v>
                </c:pt>
                <c:pt idx="645">
                  <c:v>245.8</c:v>
                </c:pt>
                <c:pt idx="646">
                  <c:v>240.7</c:v>
                </c:pt>
                <c:pt idx="647">
                  <c:v>236.2</c:v>
                </c:pt>
                <c:pt idx="648">
                  <c:v>230.6</c:v>
                </c:pt>
                <c:pt idx="649">
                  <c:v>222.5</c:v>
                </c:pt>
                <c:pt idx="650">
                  <c:v>214.7</c:v>
                </c:pt>
                <c:pt idx="651">
                  <c:v>207.6</c:v>
                </c:pt>
                <c:pt idx="652">
                  <c:v>201.3</c:v>
                </c:pt>
                <c:pt idx="653">
                  <c:v>195.3</c:v>
                </c:pt>
                <c:pt idx="654">
                  <c:v>187.1</c:v>
                </c:pt>
                <c:pt idx="655">
                  <c:v>179</c:v>
                </c:pt>
                <c:pt idx="656">
                  <c:v>171.8</c:v>
                </c:pt>
                <c:pt idx="657">
                  <c:v>165.3</c:v>
                </c:pt>
                <c:pt idx="658">
                  <c:v>159.6</c:v>
                </c:pt>
                <c:pt idx="659">
                  <c:v>153.1</c:v>
                </c:pt>
                <c:pt idx="660">
                  <c:v>146.4</c:v>
                </c:pt>
                <c:pt idx="661">
                  <c:v>140.4</c:v>
                </c:pt>
                <c:pt idx="662">
                  <c:v>135</c:v>
                </c:pt>
                <c:pt idx="663">
                  <c:v>130.19999999999999</c:v>
                </c:pt>
                <c:pt idx="664">
                  <c:v>125.5</c:v>
                </c:pt>
                <c:pt idx="665">
                  <c:v>120.6</c:v>
                </c:pt>
                <c:pt idx="666">
                  <c:v>116.1</c:v>
                </c:pt>
                <c:pt idx="667">
                  <c:v>112</c:v>
                </c:pt>
                <c:pt idx="668">
                  <c:v>108.4</c:v>
                </c:pt>
                <c:pt idx="669">
                  <c:v>104.9</c:v>
                </c:pt>
                <c:pt idx="670">
                  <c:v>101.5</c:v>
                </c:pt>
                <c:pt idx="671">
                  <c:v>98.3</c:v>
                </c:pt>
                <c:pt idx="672">
                  <c:v>95.3</c:v>
                </c:pt>
                <c:pt idx="673">
                  <c:v>92.6</c:v>
                </c:pt>
                <c:pt idx="674">
                  <c:v>90</c:v>
                </c:pt>
                <c:pt idx="675">
                  <c:v>87.6</c:v>
                </c:pt>
                <c:pt idx="676">
                  <c:v>85.3</c:v>
                </c:pt>
                <c:pt idx="677">
                  <c:v>83.1</c:v>
                </c:pt>
                <c:pt idx="678">
                  <c:v>81</c:v>
                </c:pt>
                <c:pt idx="679">
                  <c:v>79.099999999999994</c:v>
                </c:pt>
                <c:pt idx="680">
                  <c:v>77.2</c:v>
                </c:pt>
                <c:pt idx="681">
                  <c:v>75.5</c:v>
                </c:pt>
                <c:pt idx="682">
                  <c:v>73.8</c:v>
                </c:pt>
                <c:pt idx="683">
                  <c:v>72.2</c:v>
                </c:pt>
                <c:pt idx="684">
                  <c:v>70.7</c:v>
                </c:pt>
                <c:pt idx="685">
                  <c:v>69.3</c:v>
                </c:pt>
                <c:pt idx="686">
                  <c:v>67.900000000000006</c:v>
                </c:pt>
                <c:pt idx="687">
                  <c:v>66.599999999999994</c:v>
                </c:pt>
                <c:pt idx="688">
                  <c:v>65.400000000000006</c:v>
                </c:pt>
                <c:pt idx="689">
                  <c:v>64.2</c:v>
                </c:pt>
                <c:pt idx="690">
                  <c:v>63.1</c:v>
                </c:pt>
                <c:pt idx="691">
                  <c:v>62</c:v>
                </c:pt>
                <c:pt idx="692">
                  <c:v>60.9</c:v>
                </c:pt>
                <c:pt idx="693">
                  <c:v>59.9</c:v>
                </c:pt>
                <c:pt idx="694">
                  <c:v>58.9</c:v>
                </c:pt>
                <c:pt idx="695">
                  <c:v>58</c:v>
                </c:pt>
                <c:pt idx="696">
                  <c:v>57</c:v>
                </c:pt>
                <c:pt idx="697">
                  <c:v>56.2</c:v>
                </c:pt>
                <c:pt idx="698">
                  <c:v>55.3</c:v>
                </c:pt>
                <c:pt idx="699">
                  <c:v>54.5</c:v>
                </c:pt>
                <c:pt idx="700">
                  <c:v>53.7</c:v>
                </c:pt>
                <c:pt idx="701">
                  <c:v>52.9</c:v>
                </c:pt>
                <c:pt idx="702">
                  <c:v>52.2</c:v>
                </c:pt>
                <c:pt idx="703">
                  <c:v>51.4</c:v>
                </c:pt>
                <c:pt idx="704">
                  <c:v>50.7</c:v>
                </c:pt>
                <c:pt idx="705">
                  <c:v>50</c:v>
                </c:pt>
                <c:pt idx="706">
                  <c:v>49.4</c:v>
                </c:pt>
                <c:pt idx="707">
                  <c:v>48.7</c:v>
                </c:pt>
                <c:pt idx="708">
                  <c:v>48.1</c:v>
                </c:pt>
                <c:pt idx="709">
                  <c:v>47.5</c:v>
                </c:pt>
                <c:pt idx="710">
                  <c:v>46.9</c:v>
                </c:pt>
                <c:pt idx="711">
                  <c:v>46.4</c:v>
                </c:pt>
                <c:pt idx="712">
                  <c:v>45.8</c:v>
                </c:pt>
                <c:pt idx="713">
                  <c:v>45.3</c:v>
                </c:pt>
                <c:pt idx="714">
                  <c:v>44.7</c:v>
                </c:pt>
                <c:pt idx="715">
                  <c:v>44.2</c:v>
                </c:pt>
                <c:pt idx="716">
                  <c:v>43.7</c:v>
                </c:pt>
                <c:pt idx="717">
                  <c:v>43.2</c:v>
                </c:pt>
                <c:pt idx="718">
                  <c:v>42.8</c:v>
                </c:pt>
                <c:pt idx="719">
                  <c:v>42.3</c:v>
                </c:pt>
                <c:pt idx="720">
                  <c:v>41.9</c:v>
                </c:pt>
                <c:pt idx="721">
                  <c:v>41.4</c:v>
                </c:pt>
                <c:pt idx="722">
                  <c:v>41</c:v>
                </c:pt>
                <c:pt idx="723">
                  <c:v>40.6</c:v>
                </c:pt>
                <c:pt idx="724">
                  <c:v>40.200000000000003</c:v>
                </c:pt>
                <c:pt idx="725">
                  <c:v>39.799999999999997</c:v>
                </c:pt>
                <c:pt idx="726">
                  <c:v>39.4</c:v>
                </c:pt>
                <c:pt idx="727">
                  <c:v>39</c:v>
                </c:pt>
                <c:pt idx="728">
                  <c:v>38.700000000000003</c:v>
                </c:pt>
                <c:pt idx="729">
                  <c:v>38.299999999999997</c:v>
                </c:pt>
                <c:pt idx="730">
                  <c:v>38</c:v>
                </c:pt>
                <c:pt idx="731">
                  <c:v>37.6</c:v>
                </c:pt>
                <c:pt idx="732">
                  <c:v>37.299999999999997</c:v>
                </c:pt>
                <c:pt idx="733">
                  <c:v>37</c:v>
                </c:pt>
                <c:pt idx="734">
                  <c:v>36.700000000000003</c:v>
                </c:pt>
                <c:pt idx="735">
                  <c:v>36.4</c:v>
                </c:pt>
                <c:pt idx="736">
                  <c:v>36.1</c:v>
                </c:pt>
                <c:pt idx="737">
                  <c:v>35.799999999999997</c:v>
                </c:pt>
                <c:pt idx="738">
                  <c:v>35.5</c:v>
                </c:pt>
                <c:pt idx="739">
                  <c:v>35.200000000000003</c:v>
                </c:pt>
                <c:pt idx="740">
                  <c:v>34.9</c:v>
                </c:pt>
                <c:pt idx="741">
                  <c:v>34.700000000000003</c:v>
                </c:pt>
                <c:pt idx="742">
                  <c:v>34.4</c:v>
                </c:pt>
                <c:pt idx="743">
                  <c:v>34.200000000000003</c:v>
                </c:pt>
                <c:pt idx="744">
                  <c:v>33.9</c:v>
                </c:pt>
                <c:pt idx="745">
                  <c:v>33.700000000000003</c:v>
                </c:pt>
                <c:pt idx="746">
                  <c:v>33.4</c:v>
                </c:pt>
                <c:pt idx="747">
                  <c:v>33.200000000000003</c:v>
                </c:pt>
                <c:pt idx="748">
                  <c:v>33</c:v>
                </c:pt>
                <c:pt idx="749">
                  <c:v>32.700000000000003</c:v>
                </c:pt>
                <c:pt idx="750">
                  <c:v>32.5</c:v>
                </c:pt>
                <c:pt idx="751">
                  <c:v>32.299999999999997</c:v>
                </c:pt>
                <c:pt idx="752">
                  <c:v>32.1</c:v>
                </c:pt>
                <c:pt idx="753">
                  <c:v>31.9</c:v>
                </c:pt>
                <c:pt idx="754">
                  <c:v>31.7</c:v>
                </c:pt>
                <c:pt idx="755">
                  <c:v>31.5</c:v>
                </c:pt>
                <c:pt idx="756">
                  <c:v>31.3</c:v>
                </c:pt>
                <c:pt idx="757">
                  <c:v>31.1</c:v>
                </c:pt>
                <c:pt idx="758">
                  <c:v>30.9</c:v>
                </c:pt>
                <c:pt idx="759">
                  <c:v>30.7</c:v>
                </c:pt>
                <c:pt idx="760">
                  <c:v>30.6</c:v>
                </c:pt>
                <c:pt idx="761">
                  <c:v>30.4</c:v>
                </c:pt>
                <c:pt idx="762">
                  <c:v>30.2</c:v>
                </c:pt>
                <c:pt idx="763">
                  <c:v>30.1</c:v>
                </c:pt>
                <c:pt idx="764">
                  <c:v>29.9</c:v>
                </c:pt>
                <c:pt idx="765">
                  <c:v>29.7</c:v>
                </c:pt>
                <c:pt idx="766">
                  <c:v>29.6</c:v>
                </c:pt>
                <c:pt idx="767">
                  <c:v>29.4</c:v>
                </c:pt>
                <c:pt idx="768">
                  <c:v>29.3</c:v>
                </c:pt>
                <c:pt idx="769">
                  <c:v>29.1</c:v>
                </c:pt>
                <c:pt idx="770">
                  <c:v>29</c:v>
                </c:pt>
                <c:pt idx="771">
                  <c:v>28.8</c:v>
                </c:pt>
                <c:pt idx="772">
                  <c:v>28.7</c:v>
                </c:pt>
                <c:pt idx="773">
                  <c:v>28.6</c:v>
                </c:pt>
                <c:pt idx="774">
                  <c:v>28.4</c:v>
                </c:pt>
                <c:pt idx="775">
                  <c:v>28.3</c:v>
                </c:pt>
                <c:pt idx="776">
                  <c:v>28.2</c:v>
                </c:pt>
                <c:pt idx="777">
                  <c:v>28.1</c:v>
                </c:pt>
                <c:pt idx="778">
                  <c:v>27.9</c:v>
                </c:pt>
                <c:pt idx="779">
                  <c:v>27.8</c:v>
                </c:pt>
                <c:pt idx="780">
                  <c:v>27.7</c:v>
                </c:pt>
                <c:pt idx="781">
                  <c:v>27.6</c:v>
                </c:pt>
                <c:pt idx="782">
                  <c:v>27.5</c:v>
                </c:pt>
                <c:pt idx="783">
                  <c:v>27.4</c:v>
                </c:pt>
                <c:pt idx="784">
                  <c:v>27.3</c:v>
                </c:pt>
                <c:pt idx="785">
                  <c:v>27.1</c:v>
                </c:pt>
                <c:pt idx="786">
                  <c:v>27</c:v>
                </c:pt>
                <c:pt idx="787">
                  <c:v>26.9</c:v>
                </c:pt>
                <c:pt idx="788">
                  <c:v>26.8</c:v>
                </c:pt>
                <c:pt idx="789">
                  <c:v>26.7</c:v>
                </c:pt>
                <c:pt idx="790">
                  <c:v>26.6</c:v>
                </c:pt>
                <c:pt idx="791">
                  <c:v>26.5</c:v>
                </c:pt>
                <c:pt idx="792">
                  <c:v>26.5</c:v>
                </c:pt>
                <c:pt idx="793">
                  <c:v>26.4</c:v>
                </c:pt>
                <c:pt idx="794">
                  <c:v>26.3</c:v>
                </c:pt>
                <c:pt idx="795">
                  <c:v>26.2</c:v>
                </c:pt>
                <c:pt idx="796">
                  <c:v>26.1</c:v>
                </c:pt>
                <c:pt idx="797">
                  <c:v>26</c:v>
                </c:pt>
                <c:pt idx="798">
                  <c:v>25.9</c:v>
                </c:pt>
                <c:pt idx="799">
                  <c:v>25.9</c:v>
                </c:pt>
                <c:pt idx="800">
                  <c:v>25.8</c:v>
                </c:pt>
                <c:pt idx="801">
                  <c:v>25.7</c:v>
                </c:pt>
                <c:pt idx="802">
                  <c:v>25.6</c:v>
                </c:pt>
                <c:pt idx="803">
                  <c:v>25.5</c:v>
                </c:pt>
                <c:pt idx="804">
                  <c:v>25.5</c:v>
                </c:pt>
                <c:pt idx="805">
                  <c:v>25.4</c:v>
                </c:pt>
                <c:pt idx="806">
                  <c:v>25.3</c:v>
                </c:pt>
                <c:pt idx="807">
                  <c:v>25.3</c:v>
                </c:pt>
                <c:pt idx="808">
                  <c:v>25.2</c:v>
                </c:pt>
                <c:pt idx="809">
                  <c:v>25.1</c:v>
                </c:pt>
                <c:pt idx="810">
                  <c:v>25.1</c:v>
                </c:pt>
                <c:pt idx="811">
                  <c:v>25</c:v>
                </c:pt>
                <c:pt idx="812">
                  <c:v>24.9</c:v>
                </c:pt>
                <c:pt idx="813">
                  <c:v>24.9</c:v>
                </c:pt>
                <c:pt idx="814">
                  <c:v>24.8</c:v>
                </c:pt>
                <c:pt idx="815">
                  <c:v>24.8</c:v>
                </c:pt>
                <c:pt idx="816">
                  <c:v>24.7</c:v>
                </c:pt>
                <c:pt idx="817">
                  <c:v>24.6</c:v>
                </c:pt>
                <c:pt idx="818">
                  <c:v>24.6</c:v>
                </c:pt>
                <c:pt idx="819">
                  <c:v>24.5</c:v>
                </c:pt>
                <c:pt idx="820">
                  <c:v>24.5</c:v>
                </c:pt>
                <c:pt idx="821">
                  <c:v>24.4</c:v>
                </c:pt>
                <c:pt idx="822">
                  <c:v>24.4</c:v>
                </c:pt>
                <c:pt idx="823">
                  <c:v>24.3</c:v>
                </c:pt>
                <c:pt idx="824">
                  <c:v>24.3</c:v>
                </c:pt>
                <c:pt idx="825">
                  <c:v>24.2</c:v>
                </c:pt>
                <c:pt idx="826">
                  <c:v>24.2</c:v>
                </c:pt>
                <c:pt idx="827">
                  <c:v>24.1</c:v>
                </c:pt>
                <c:pt idx="828">
                  <c:v>24.1</c:v>
                </c:pt>
                <c:pt idx="829">
                  <c:v>24.1</c:v>
                </c:pt>
                <c:pt idx="830">
                  <c:v>24</c:v>
                </c:pt>
                <c:pt idx="831">
                  <c:v>24</c:v>
                </c:pt>
                <c:pt idx="832">
                  <c:v>23.9</c:v>
                </c:pt>
                <c:pt idx="833">
                  <c:v>23.9</c:v>
                </c:pt>
                <c:pt idx="834">
                  <c:v>23.9</c:v>
                </c:pt>
                <c:pt idx="835">
                  <c:v>23.8</c:v>
                </c:pt>
                <c:pt idx="836">
                  <c:v>23.8</c:v>
                </c:pt>
                <c:pt idx="837">
                  <c:v>23.7</c:v>
                </c:pt>
                <c:pt idx="838">
                  <c:v>23.7</c:v>
                </c:pt>
                <c:pt idx="839">
                  <c:v>23.7</c:v>
                </c:pt>
                <c:pt idx="840">
                  <c:v>23.6</c:v>
                </c:pt>
                <c:pt idx="841">
                  <c:v>23.6</c:v>
                </c:pt>
                <c:pt idx="842">
                  <c:v>23.6</c:v>
                </c:pt>
                <c:pt idx="843">
                  <c:v>23.5</c:v>
                </c:pt>
                <c:pt idx="844">
                  <c:v>23.5</c:v>
                </c:pt>
                <c:pt idx="845">
                  <c:v>23.5</c:v>
                </c:pt>
                <c:pt idx="846">
                  <c:v>23.5</c:v>
                </c:pt>
                <c:pt idx="847">
                  <c:v>23.4</c:v>
                </c:pt>
                <c:pt idx="848">
                  <c:v>23.4</c:v>
                </c:pt>
                <c:pt idx="849">
                  <c:v>23.4</c:v>
                </c:pt>
                <c:pt idx="850">
                  <c:v>23.3</c:v>
                </c:pt>
                <c:pt idx="851">
                  <c:v>23.3</c:v>
                </c:pt>
                <c:pt idx="852">
                  <c:v>23.3</c:v>
                </c:pt>
                <c:pt idx="853">
                  <c:v>23.3</c:v>
                </c:pt>
                <c:pt idx="854">
                  <c:v>23.2</c:v>
                </c:pt>
                <c:pt idx="855">
                  <c:v>23.2</c:v>
                </c:pt>
                <c:pt idx="856">
                  <c:v>23.2</c:v>
                </c:pt>
                <c:pt idx="857">
                  <c:v>23.2</c:v>
                </c:pt>
                <c:pt idx="858">
                  <c:v>23.2</c:v>
                </c:pt>
                <c:pt idx="859">
                  <c:v>23.1</c:v>
                </c:pt>
                <c:pt idx="860">
                  <c:v>23.1</c:v>
                </c:pt>
                <c:pt idx="861">
                  <c:v>23.1</c:v>
                </c:pt>
                <c:pt idx="862">
                  <c:v>23.1</c:v>
                </c:pt>
                <c:pt idx="863">
                  <c:v>23.1</c:v>
                </c:pt>
                <c:pt idx="864">
                  <c:v>23.1</c:v>
                </c:pt>
                <c:pt idx="865">
                  <c:v>23</c:v>
                </c:pt>
                <c:pt idx="866">
                  <c:v>23</c:v>
                </c:pt>
                <c:pt idx="867">
                  <c:v>23</c:v>
                </c:pt>
                <c:pt idx="868">
                  <c:v>23</c:v>
                </c:pt>
                <c:pt idx="869">
                  <c:v>23</c:v>
                </c:pt>
                <c:pt idx="870">
                  <c:v>23</c:v>
                </c:pt>
                <c:pt idx="871">
                  <c:v>23</c:v>
                </c:pt>
                <c:pt idx="872">
                  <c:v>22.9</c:v>
                </c:pt>
                <c:pt idx="873">
                  <c:v>22.9</c:v>
                </c:pt>
                <c:pt idx="874">
                  <c:v>22.9</c:v>
                </c:pt>
                <c:pt idx="875">
                  <c:v>22.9</c:v>
                </c:pt>
                <c:pt idx="876">
                  <c:v>22.9</c:v>
                </c:pt>
                <c:pt idx="877">
                  <c:v>22.9</c:v>
                </c:pt>
                <c:pt idx="878">
                  <c:v>22.9</c:v>
                </c:pt>
                <c:pt idx="879">
                  <c:v>22.9</c:v>
                </c:pt>
                <c:pt idx="880">
                  <c:v>22.9</c:v>
                </c:pt>
                <c:pt idx="881">
                  <c:v>22.9</c:v>
                </c:pt>
                <c:pt idx="882">
                  <c:v>22.8</c:v>
                </c:pt>
                <c:pt idx="883">
                  <c:v>22.8</c:v>
                </c:pt>
                <c:pt idx="884">
                  <c:v>22.8</c:v>
                </c:pt>
                <c:pt idx="885">
                  <c:v>22.8</c:v>
                </c:pt>
                <c:pt idx="886">
                  <c:v>22.8</c:v>
                </c:pt>
                <c:pt idx="887">
                  <c:v>22.8</c:v>
                </c:pt>
                <c:pt idx="888">
                  <c:v>22.8</c:v>
                </c:pt>
                <c:pt idx="889">
                  <c:v>22.8</c:v>
                </c:pt>
                <c:pt idx="890">
                  <c:v>22.8</c:v>
                </c:pt>
                <c:pt idx="891">
                  <c:v>22.8</c:v>
                </c:pt>
                <c:pt idx="892">
                  <c:v>22.8</c:v>
                </c:pt>
                <c:pt idx="893">
                  <c:v>22.8</c:v>
                </c:pt>
                <c:pt idx="894">
                  <c:v>22.8</c:v>
                </c:pt>
                <c:pt idx="895">
                  <c:v>22.8</c:v>
                </c:pt>
                <c:pt idx="896">
                  <c:v>22.8</c:v>
                </c:pt>
                <c:pt idx="897">
                  <c:v>22.8</c:v>
                </c:pt>
                <c:pt idx="898">
                  <c:v>22.8</c:v>
                </c:pt>
                <c:pt idx="899">
                  <c:v>22.8</c:v>
                </c:pt>
                <c:pt idx="900">
                  <c:v>22.8</c:v>
                </c:pt>
                <c:pt idx="901">
                  <c:v>22.8</c:v>
                </c:pt>
                <c:pt idx="902">
                  <c:v>22.8</c:v>
                </c:pt>
                <c:pt idx="903">
                  <c:v>22.8</c:v>
                </c:pt>
                <c:pt idx="904">
                  <c:v>22.8</c:v>
                </c:pt>
                <c:pt idx="905">
                  <c:v>22.8</c:v>
                </c:pt>
                <c:pt idx="906">
                  <c:v>22.8</c:v>
                </c:pt>
                <c:pt idx="907">
                  <c:v>22.8</c:v>
                </c:pt>
                <c:pt idx="908">
                  <c:v>22.8</c:v>
                </c:pt>
                <c:pt idx="909">
                  <c:v>22.8</c:v>
                </c:pt>
                <c:pt idx="910">
                  <c:v>22.8</c:v>
                </c:pt>
                <c:pt idx="911">
                  <c:v>22.8</c:v>
                </c:pt>
                <c:pt idx="912">
                  <c:v>22.8</c:v>
                </c:pt>
                <c:pt idx="913">
                  <c:v>22.9</c:v>
                </c:pt>
                <c:pt idx="914">
                  <c:v>22.9</c:v>
                </c:pt>
                <c:pt idx="915">
                  <c:v>22.9</c:v>
                </c:pt>
                <c:pt idx="916">
                  <c:v>22.9</c:v>
                </c:pt>
                <c:pt idx="917">
                  <c:v>22.9</c:v>
                </c:pt>
                <c:pt idx="918">
                  <c:v>22.9</c:v>
                </c:pt>
                <c:pt idx="919">
                  <c:v>22.9</c:v>
                </c:pt>
                <c:pt idx="920">
                  <c:v>22.9</c:v>
                </c:pt>
                <c:pt idx="921">
                  <c:v>22.9</c:v>
                </c:pt>
                <c:pt idx="922">
                  <c:v>22.9</c:v>
                </c:pt>
                <c:pt idx="923">
                  <c:v>22.9</c:v>
                </c:pt>
                <c:pt idx="924">
                  <c:v>23</c:v>
                </c:pt>
                <c:pt idx="925">
                  <c:v>23</c:v>
                </c:pt>
                <c:pt idx="926">
                  <c:v>23</c:v>
                </c:pt>
                <c:pt idx="927">
                  <c:v>23</c:v>
                </c:pt>
                <c:pt idx="928">
                  <c:v>23</c:v>
                </c:pt>
                <c:pt idx="929">
                  <c:v>23</c:v>
                </c:pt>
                <c:pt idx="930">
                  <c:v>23</c:v>
                </c:pt>
                <c:pt idx="931">
                  <c:v>23</c:v>
                </c:pt>
                <c:pt idx="932">
                  <c:v>23.1</c:v>
                </c:pt>
                <c:pt idx="933">
                  <c:v>23.1</c:v>
                </c:pt>
                <c:pt idx="934">
                  <c:v>23.1</c:v>
                </c:pt>
                <c:pt idx="935">
                  <c:v>23.1</c:v>
                </c:pt>
                <c:pt idx="936">
                  <c:v>23.1</c:v>
                </c:pt>
                <c:pt idx="937">
                  <c:v>23.1</c:v>
                </c:pt>
                <c:pt idx="938">
                  <c:v>23.1</c:v>
                </c:pt>
                <c:pt idx="939">
                  <c:v>23.2</c:v>
                </c:pt>
                <c:pt idx="940">
                  <c:v>23.2</c:v>
                </c:pt>
                <c:pt idx="941">
                  <c:v>23.2</c:v>
                </c:pt>
                <c:pt idx="942">
                  <c:v>23.2</c:v>
                </c:pt>
                <c:pt idx="943">
                  <c:v>23.2</c:v>
                </c:pt>
                <c:pt idx="944">
                  <c:v>23.2</c:v>
                </c:pt>
                <c:pt idx="945">
                  <c:v>23.3</c:v>
                </c:pt>
                <c:pt idx="946">
                  <c:v>23.3</c:v>
                </c:pt>
                <c:pt idx="947">
                  <c:v>23.3</c:v>
                </c:pt>
                <c:pt idx="948">
                  <c:v>23.3</c:v>
                </c:pt>
                <c:pt idx="949">
                  <c:v>23.3</c:v>
                </c:pt>
                <c:pt idx="950">
                  <c:v>23.4</c:v>
                </c:pt>
                <c:pt idx="951">
                  <c:v>23.4</c:v>
                </c:pt>
                <c:pt idx="952">
                  <c:v>23.4</c:v>
                </c:pt>
                <c:pt idx="953">
                  <c:v>23.4</c:v>
                </c:pt>
                <c:pt idx="954">
                  <c:v>23.5</c:v>
                </c:pt>
                <c:pt idx="955">
                  <c:v>23.5</c:v>
                </c:pt>
                <c:pt idx="956">
                  <c:v>23.5</c:v>
                </c:pt>
                <c:pt idx="957">
                  <c:v>23.5</c:v>
                </c:pt>
                <c:pt idx="958">
                  <c:v>23.5</c:v>
                </c:pt>
                <c:pt idx="959">
                  <c:v>23.6</c:v>
                </c:pt>
                <c:pt idx="960">
                  <c:v>23.6</c:v>
                </c:pt>
                <c:pt idx="961">
                  <c:v>23.6</c:v>
                </c:pt>
                <c:pt idx="962">
                  <c:v>23.6</c:v>
                </c:pt>
                <c:pt idx="963">
                  <c:v>23.7</c:v>
                </c:pt>
                <c:pt idx="964">
                  <c:v>23.7</c:v>
                </c:pt>
                <c:pt idx="965">
                  <c:v>23.7</c:v>
                </c:pt>
                <c:pt idx="966">
                  <c:v>23.8</c:v>
                </c:pt>
                <c:pt idx="967">
                  <c:v>23.8</c:v>
                </c:pt>
                <c:pt idx="968">
                  <c:v>23.8</c:v>
                </c:pt>
                <c:pt idx="969">
                  <c:v>23.8</c:v>
                </c:pt>
                <c:pt idx="970">
                  <c:v>23.9</c:v>
                </c:pt>
                <c:pt idx="971">
                  <c:v>23.9</c:v>
                </c:pt>
                <c:pt idx="972">
                  <c:v>23.9</c:v>
                </c:pt>
                <c:pt idx="973">
                  <c:v>24</c:v>
                </c:pt>
                <c:pt idx="974">
                  <c:v>24</c:v>
                </c:pt>
                <c:pt idx="975">
                  <c:v>24</c:v>
                </c:pt>
                <c:pt idx="976">
                  <c:v>24.1</c:v>
                </c:pt>
                <c:pt idx="977">
                  <c:v>24.1</c:v>
                </c:pt>
                <c:pt idx="978">
                  <c:v>24.1</c:v>
                </c:pt>
                <c:pt idx="979">
                  <c:v>24.1</c:v>
                </c:pt>
                <c:pt idx="980">
                  <c:v>24.2</c:v>
                </c:pt>
                <c:pt idx="981">
                  <c:v>24.2</c:v>
                </c:pt>
                <c:pt idx="982">
                  <c:v>24.3</c:v>
                </c:pt>
                <c:pt idx="983">
                  <c:v>24.3</c:v>
                </c:pt>
                <c:pt idx="984">
                  <c:v>24.3</c:v>
                </c:pt>
                <c:pt idx="985">
                  <c:v>24.4</c:v>
                </c:pt>
                <c:pt idx="986">
                  <c:v>24.4</c:v>
                </c:pt>
                <c:pt idx="987">
                  <c:v>24.4</c:v>
                </c:pt>
                <c:pt idx="988">
                  <c:v>24.5</c:v>
                </c:pt>
                <c:pt idx="989">
                  <c:v>24.5</c:v>
                </c:pt>
                <c:pt idx="990">
                  <c:v>24.5</c:v>
                </c:pt>
                <c:pt idx="991">
                  <c:v>24.6</c:v>
                </c:pt>
                <c:pt idx="992">
                  <c:v>24.6</c:v>
                </c:pt>
                <c:pt idx="993">
                  <c:v>24.7</c:v>
                </c:pt>
                <c:pt idx="994">
                  <c:v>24.7</c:v>
                </c:pt>
                <c:pt idx="995">
                  <c:v>24.7</c:v>
                </c:pt>
                <c:pt idx="996">
                  <c:v>24.8</c:v>
                </c:pt>
                <c:pt idx="997">
                  <c:v>24.8</c:v>
                </c:pt>
                <c:pt idx="998">
                  <c:v>24.9</c:v>
                </c:pt>
                <c:pt idx="999">
                  <c:v>24.9</c:v>
                </c:pt>
                <c:pt idx="1000">
                  <c:v>25</c:v>
                </c:pt>
                <c:pt idx="1001">
                  <c:v>25</c:v>
                </c:pt>
                <c:pt idx="1002">
                  <c:v>25</c:v>
                </c:pt>
                <c:pt idx="1003">
                  <c:v>25.1</c:v>
                </c:pt>
                <c:pt idx="1004">
                  <c:v>25.1</c:v>
                </c:pt>
                <c:pt idx="1005">
                  <c:v>25.2</c:v>
                </c:pt>
                <c:pt idx="1006">
                  <c:v>25.2</c:v>
                </c:pt>
                <c:pt idx="1007">
                  <c:v>25.3</c:v>
                </c:pt>
                <c:pt idx="1008">
                  <c:v>25.3</c:v>
                </c:pt>
                <c:pt idx="1009">
                  <c:v>25.4</c:v>
                </c:pt>
                <c:pt idx="1010">
                  <c:v>25.4</c:v>
                </c:pt>
                <c:pt idx="1011">
                  <c:v>25.5</c:v>
                </c:pt>
                <c:pt idx="1012">
                  <c:v>25.5</c:v>
                </c:pt>
                <c:pt idx="1013">
                  <c:v>25.6</c:v>
                </c:pt>
                <c:pt idx="1014">
                  <c:v>25.6</c:v>
                </c:pt>
                <c:pt idx="1015">
                  <c:v>25.7</c:v>
                </c:pt>
                <c:pt idx="1016">
                  <c:v>25.8</c:v>
                </c:pt>
                <c:pt idx="1017">
                  <c:v>25.8</c:v>
                </c:pt>
                <c:pt idx="1018">
                  <c:v>25.9</c:v>
                </c:pt>
                <c:pt idx="1019">
                  <c:v>25.9</c:v>
                </c:pt>
                <c:pt idx="1020">
                  <c:v>26</c:v>
                </c:pt>
                <c:pt idx="1021">
                  <c:v>26</c:v>
                </c:pt>
                <c:pt idx="1022">
                  <c:v>26.1</c:v>
                </c:pt>
                <c:pt idx="1023">
                  <c:v>26.2</c:v>
                </c:pt>
                <c:pt idx="1024">
                  <c:v>26.2</c:v>
                </c:pt>
                <c:pt idx="1025">
                  <c:v>26.3</c:v>
                </c:pt>
                <c:pt idx="1026">
                  <c:v>26.4</c:v>
                </c:pt>
                <c:pt idx="1027">
                  <c:v>26.4</c:v>
                </c:pt>
                <c:pt idx="1028">
                  <c:v>26.5</c:v>
                </c:pt>
                <c:pt idx="1029">
                  <c:v>26.6</c:v>
                </c:pt>
                <c:pt idx="1030">
                  <c:v>26.6</c:v>
                </c:pt>
                <c:pt idx="1031">
                  <c:v>26.7</c:v>
                </c:pt>
                <c:pt idx="1032">
                  <c:v>26.8</c:v>
                </c:pt>
                <c:pt idx="1033">
                  <c:v>26.8</c:v>
                </c:pt>
                <c:pt idx="1034">
                  <c:v>26.9</c:v>
                </c:pt>
                <c:pt idx="1035">
                  <c:v>27</c:v>
                </c:pt>
                <c:pt idx="1036">
                  <c:v>27.1</c:v>
                </c:pt>
                <c:pt idx="1037">
                  <c:v>27.1</c:v>
                </c:pt>
                <c:pt idx="1038">
                  <c:v>27.2</c:v>
                </c:pt>
                <c:pt idx="1039">
                  <c:v>27.3</c:v>
                </c:pt>
                <c:pt idx="1040">
                  <c:v>27.4</c:v>
                </c:pt>
                <c:pt idx="1041">
                  <c:v>27.5</c:v>
                </c:pt>
                <c:pt idx="1042">
                  <c:v>27.5</c:v>
                </c:pt>
                <c:pt idx="1043">
                  <c:v>27.6</c:v>
                </c:pt>
                <c:pt idx="1044">
                  <c:v>27.7</c:v>
                </c:pt>
                <c:pt idx="1045">
                  <c:v>27.8</c:v>
                </c:pt>
                <c:pt idx="1046">
                  <c:v>27.9</c:v>
                </c:pt>
                <c:pt idx="1047">
                  <c:v>28</c:v>
                </c:pt>
                <c:pt idx="1048">
                  <c:v>28.1</c:v>
                </c:pt>
                <c:pt idx="1049">
                  <c:v>28.2</c:v>
                </c:pt>
                <c:pt idx="1050">
                  <c:v>28.3</c:v>
                </c:pt>
                <c:pt idx="1051">
                  <c:v>28.4</c:v>
                </c:pt>
                <c:pt idx="1052">
                  <c:v>28.5</c:v>
                </c:pt>
                <c:pt idx="1053">
                  <c:v>28.6</c:v>
                </c:pt>
                <c:pt idx="1054">
                  <c:v>28.7</c:v>
                </c:pt>
                <c:pt idx="1055">
                  <c:v>28.8</c:v>
                </c:pt>
                <c:pt idx="1056">
                  <c:v>28.9</c:v>
                </c:pt>
                <c:pt idx="1057">
                  <c:v>29</c:v>
                </c:pt>
                <c:pt idx="1058">
                  <c:v>29.1</c:v>
                </c:pt>
                <c:pt idx="1059">
                  <c:v>29.2</c:v>
                </c:pt>
                <c:pt idx="1060">
                  <c:v>29.4</c:v>
                </c:pt>
                <c:pt idx="1061">
                  <c:v>29.5</c:v>
                </c:pt>
                <c:pt idx="1062">
                  <c:v>29.6</c:v>
                </c:pt>
                <c:pt idx="1063">
                  <c:v>29.7</c:v>
                </c:pt>
                <c:pt idx="1064">
                  <c:v>29.9</c:v>
                </c:pt>
                <c:pt idx="1065">
                  <c:v>30</c:v>
                </c:pt>
                <c:pt idx="1066">
                  <c:v>30.1</c:v>
                </c:pt>
                <c:pt idx="1067">
                  <c:v>30.3</c:v>
                </c:pt>
                <c:pt idx="1068">
                  <c:v>30.4</c:v>
                </c:pt>
                <c:pt idx="1069">
                  <c:v>30.5</c:v>
                </c:pt>
                <c:pt idx="1070">
                  <c:v>30.7</c:v>
                </c:pt>
                <c:pt idx="1071">
                  <c:v>30.8</c:v>
                </c:pt>
                <c:pt idx="1072">
                  <c:v>31</c:v>
                </c:pt>
                <c:pt idx="1073">
                  <c:v>31.1</c:v>
                </c:pt>
                <c:pt idx="1074">
                  <c:v>31.3</c:v>
                </c:pt>
                <c:pt idx="1075">
                  <c:v>31.5</c:v>
                </c:pt>
                <c:pt idx="1076">
                  <c:v>31.6</c:v>
                </c:pt>
                <c:pt idx="1077">
                  <c:v>31.8</c:v>
                </c:pt>
                <c:pt idx="1078">
                  <c:v>32</c:v>
                </c:pt>
                <c:pt idx="1079">
                  <c:v>32.200000000000003</c:v>
                </c:pt>
                <c:pt idx="1080">
                  <c:v>32.4</c:v>
                </c:pt>
                <c:pt idx="1081">
                  <c:v>32.6</c:v>
                </c:pt>
                <c:pt idx="1082">
                  <c:v>32.799999999999997</c:v>
                </c:pt>
                <c:pt idx="1083">
                  <c:v>33</c:v>
                </c:pt>
                <c:pt idx="1084">
                  <c:v>33.200000000000003</c:v>
                </c:pt>
                <c:pt idx="1085">
                  <c:v>33.4</c:v>
                </c:pt>
                <c:pt idx="1086">
                  <c:v>33.6</c:v>
                </c:pt>
                <c:pt idx="1087">
                  <c:v>33.799999999999997</c:v>
                </c:pt>
                <c:pt idx="1088">
                  <c:v>34.1</c:v>
                </c:pt>
                <c:pt idx="1089">
                  <c:v>34.299999999999997</c:v>
                </c:pt>
                <c:pt idx="1090">
                  <c:v>34.6</c:v>
                </c:pt>
                <c:pt idx="1091">
                  <c:v>34.799999999999997</c:v>
                </c:pt>
                <c:pt idx="1092">
                  <c:v>35.1</c:v>
                </c:pt>
                <c:pt idx="1093">
                  <c:v>35.4</c:v>
                </c:pt>
                <c:pt idx="1094">
                  <c:v>35.6</c:v>
                </c:pt>
                <c:pt idx="1095">
                  <c:v>35.9</c:v>
                </c:pt>
                <c:pt idx="1096">
                  <c:v>36.200000000000003</c:v>
                </c:pt>
                <c:pt idx="1097">
                  <c:v>36.5</c:v>
                </c:pt>
                <c:pt idx="1098">
                  <c:v>36.9</c:v>
                </c:pt>
                <c:pt idx="1099">
                  <c:v>37.200000000000003</c:v>
                </c:pt>
                <c:pt idx="1100">
                  <c:v>37.5</c:v>
                </c:pt>
                <c:pt idx="1101">
                  <c:v>37.9</c:v>
                </c:pt>
                <c:pt idx="1102">
                  <c:v>38.200000000000003</c:v>
                </c:pt>
                <c:pt idx="1103">
                  <c:v>38.6</c:v>
                </c:pt>
                <c:pt idx="1104">
                  <c:v>39</c:v>
                </c:pt>
                <c:pt idx="1105">
                  <c:v>39.4</c:v>
                </c:pt>
                <c:pt idx="1106">
                  <c:v>39.799999999999997</c:v>
                </c:pt>
                <c:pt idx="1107">
                  <c:v>40.299999999999997</c:v>
                </c:pt>
                <c:pt idx="1108">
                  <c:v>40.700000000000003</c:v>
                </c:pt>
                <c:pt idx="1109">
                  <c:v>41.2</c:v>
                </c:pt>
                <c:pt idx="1110">
                  <c:v>41.7</c:v>
                </c:pt>
                <c:pt idx="1111">
                  <c:v>42.2</c:v>
                </c:pt>
                <c:pt idx="1112">
                  <c:v>42.7</c:v>
                </c:pt>
                <c:pt idx="1113">
                  <c:v>43.3</c:v>
                </c:pt>
                <c:pt idx="1114">
                  <c:v>43.9</c:v>
                </c:pt>
                <c:pt idx="1115">
                  <c:v>44.5</c:v>
                </c:pt>
                <c:pt idx="1116">
                  <c:v>45.1</c:v>
                </c:pt>
                <c:pt idx="1117">
                  <c:v>45.7</c:v>
                </c:pt>
                <c:pt idx="1118">
                  <c:v>46.4</c:v>
                </c:pt>
                <c:pt idx="1119">
                  <c:v>47.1</c:v>
                </c:pt>
                <c:pt idx="1120">
                  <c:v>47.9</c:v>
                </c:pt>
                <c:pt idx="1121">
                  <c:v>48.7</c:v>
                </c:pt>
                <c:pt idx="1122">
                  <c:v>49.5</c:v>
                </c:pt>
                <c:pt idx="1123">
                  <c:v>50.3</c:v>
                </c:pt>
                <c:pt idx="1124">
                  <c:v>51.2</c:v>
                </c:pt>
                <c:pt idx="1125">
                  <c:v>52.2</c:v>
                </c:pt>
                <c:pt idx="1126">
                  <c:v>53.2</c:v>
                </c:pt>
                <c:pt idx="1127">
                  <c:v>54.2</c:v>
                </c:pt>
                <c:pt idx="1128">
                  <c:v>55.3</c:v>
                </c:pt>
                <c:pt idx="1129">
                  <c:v>56.5</c:v>
                </c:pt>
                <c:pt idx="1130">
                  <c:v>57.7</c:v>
                </c:pt>
                <c:pt idx="1131">
                  <c:v>59</c:v>
                </c:pt>
                <c:pt idx="1132">
                  <c:v>60.3</c:v>
                </c:pt>
                <c:pt idx="1133">
                  <c:v>61.7</c:v>
                </c:pt>
                <c:pt idx="1134">
                  <c:v>63.2</c:v>
                </c:pt>
                <c:pt idx="1135">
                  <c:v>64.8</c:v>
                </c:pt>
                <c:pt idx="1136">
                  <c:v>66.5</c:v>
                </c:pt>
                <c:pt idx="1137">
                  <c:v>68.3</c:v>
                </c:pt>
                <c:pt idx="1138">
                  <c:v>70.2</c:v>
                </c:pt>
                <c:pt idx="1139">
                  <c:v>72.3</c:v>
                </c:pt>
                <c:pt idx="1140">
                  <c:v>74.400000000000006</c:v>
                </c:pt>
                <c:pt idx="1141">
                  <c:v>76.7</c:v>
                </c:pt>
                <c:pt idx="1142">
                  <c:v>79.099999999999994</c:v>
                </c:pt>
                <c:pt idx="1143">
                  <c:v>81.7</c:v>
                </c:pt>
                <c:pt idx="1144">
                  <c:v>84.5</c:v>
                </c:pt>
                <c:pt idx="1145">
                  <c:v>87.5</c:v>
                </c:pt>
                <c:pt idx="1146">
                  <c:v>90.6</c:v>
                </c:pt>
                <c:pt idx="1147">
                  <c:v>94</c:v>
                </c:pt>
                <c:pt idx="1148">
                  <c:v>97.6</c:v>
                </c:pt>
                <c:pt idx="1149">
                  <c:v>101.5</c:v>
                </c:pt>
                <c:pt idx="1150">
                  <c:v>105.6</c:v>
                </c:pt>
                <c:pt idx="1151">
                  <c:v>110.1</c:v>
                </c:pt>
                <c:pt idx="1152">
                  <c:v>114.8</c:v>
                </c:pt>
                <c:pt idx="1153">
                  <c:v>119.9</c:v>
                </c:pt>
                <c:pt idx="1154">
                  <c:v>125.4</c:v>
                </c:pt>
                <c:pt idx="1155">
                  <c:v>131.19999999999999</c:v>
                </c:pt>
                <c:pt idx="1156">
                  <c:v>137.5</c:v>
                </c:pt>
                <c:pt idx="1157">
                  <c:v>144.1</c:v>
                </c:pt>
                <c:pt idx="1158">
                  <c:v>151.19999999999999</c:v>
                </c:pt>
                <c:pt idx="1159">
                  <c:v>158.69999999999999</c:v>
                </c:pt>
                <c:pt idx="1160">
                  <c:v>166.6</c:v>
                </c:pt>
                <c:pt idx="1161">
                  <c:v>174.9</c:v>
                </c:pt>
                <c:pt idx="1162">
                  <c:v>183.6</c:v>
                </c:pt>
                <c:pt idx="1163">
                  <c:v>192.5</c:v>
                </c:pt>
                <c:pt idx="1164">
                  <c:v>201.7</c:v>
                </c:pt>
                <c:pt idx="1165">
                  <c:v>210.9</c:v>
                </c:pt>
                <c:pt idx="1166">
                  <c:v>220</c:v>
                </c:pt>
                <c:pt idx="1167">
                  <c:v>228.8</c:v>
                </c:pt>
                <c:pt idx="1168">
                  <c:v>237.1</c:v>
                </c:pt>
                <c:pt idx="1169">
                  <c:v>244.7</c:v>
                </c:pt>
                <c:pt idx="1170">
                  <c:v>251.2</c:v>
                </c:pt>
                <c:pt idx="1171">
                  <c:v>256.60000000000002</c:v>
                </c:pt>
                <c:pt idx="1172">
                  <c:v>260.8</c:v>
                </c:pt>
                <c:pt idx="1173">
                  <c:v>263.89999999999998</c:v>
                </c:pt>
                <c:pt idx="1174">
                  <c:v>265.89999999999998</c:v>
                </c:pt>
                <c:pt idx="1175">
                  <c:v>267</c:v>
                </c:pt>
                <c:pt idx="1176">
                  <c:v>267.7</c:v>
                </c:pt>
                <c:pt idx="1177">
                  <c:v>268</c:v>
                </c:pt>
                <c:pt idx="1178">
                  <c:v>268</c:v>
                </c:pt>
                <c:pt idx="1179">
                  <c:v>267.7</c:v>
                </c:pt>
                <c:pt idx="1180">
                  <c:v>267.10000000000002</c:v>
                </c:pt>
                <c:pt idx="1181">
                  <c:v>265.89999999999998</c:v>
                </c:pt>
                <c:pt idx="1182">
                  <c:v>263.89999999999998</c:v>
                </c:pt>
                <c:pt idx="1183">
                  <c:v>261</c:v>
                </c:pt>
                <c:pt idx="1184">
                  <c:v>256.8</c:v>
                </c:pt>
                <c:pt idx="1185">
                  <c:v>251.4</c:v>
                </c:pt>
                <c:pt idx="1186">
                  <c:v>244.9</c:v>
                </c:pt>
                <c:pt idx="1187">
                  <c:v>237.5</c:v>
                </c:pt>
                <c:pt idx="1188">
                  <c:v>229.3</c:v>
                </c:pt>
                <c:pt idx="1189">
                  <c:v>220.5</c:v>
                </c:pt>
                <c:pt idx="1190">
                  <c:v>211.5</c:v>
                </c:pt>
              </c:numCache>
            </c:numRef>
          </c:yVal>
          <c:smooth val="1"/>
          <c:extLst>
            <c:ext xmlns:c16="http://schemas.microsoft.com/office/drawing/2014/chart" uri="{C3380CC4-5D6E-409C-BE32-E72D297353CC}">
              <c16:uniqueId val="{00000001-EFD3-41E0-A788-ACBB18432052}"/>
            </c:ext>
          </c:extLst>
        </c:ser>
        <c:ser>
          <c:idx val="5"/>
          <c:order val="2"/>
          <c:tx>
            <c:strRef>
              <c:f>Tatm!$G$5</c:f>
              <c:strCache>
                <c:ptCount val="1"/>
                <c:pt idx="0">
                  <c:v>13</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Tatm!$G$6:$G$1196</c:f>
              <c:numCache>
                <c:formatCode>General</c:formatCode>
                <c:ptCount val="1191"/>
                <c:pt idx="0">
                  <c:v>4.0999999999999996</c:v>
                </c:pt>
                <c:pt idx="1">
                  <c:v>4.0999999999999996</c:v>
                </c:pt>
                <c:pt idx="2">
                  <c:v>4.0999999999999996</c:v>
                </c:pt>
                <c:pt idx="3">
                  <c:v>4.0999999999999996</c:v>
                </c:pt>
                <c:pt idx="4">
                  <c:v>4.0999999999999996</c:v>
                </c:pt>
                <c:pt idx="5">
                  <c:v>4.0999999999999996</c:v>
                </c:pt>
                <c:pt idx="6">
                  <c:v>4.2</c:v>
                </c:pt>
                <c:pt idx="7">
                  <c:v>4.2</c:v>
                </c:pt>
                <c:pt idx="8">
                  <c:v>4.2</c:v>
                </c:pt>
                <c:pt idx="9">
                  <c:v>4.2</c:v>
                </c:pt>
                <c:pt idx="10">
                  <c:v>4.2</c:v>
                </c:pt>
                <c:pt idx="11">
                  <c:v>4.2</c:v>
                </c:pt>
                <c:pt idx="12">
                  <c:v>4.2</c:v>
                </c:pt>
                <c:pt idx="13">
                  <c:v>4.2</c:v>
                </c:pt>
                <c:pt idx="14">
                  <c:v>4.2</c:v>
                </c:pt>
                <c:pt idx="15">
                  <c:v>4.2</c:v>
                </c:pt>
                <c:pt idx="16">
                  <c:v>4.2</c:v>
                </c:pt>
                <c:pt idx="17">
                  <c:v>4.2</c:v>
                </c:pt>
                <c:pt idx="18">
                  <c:v>4.2</c:v>
                </c:pt>
                <c:pt idx="19">
                  <c:v>4.2</c:v>
                </c:pt>
                <c:pt idx="20">
                  <c:v>4.2</c:v>
                </c:pt>
                <c:pt idx="21">
                  <c:v>4.2</c:v>
                </c:pt>
                <c:pt idx="22">
                  <c:v>4.2</c:v>
                </c:pt>
                <c:pt idx="23">
                  <c:v>4.3</c:v>
                </c:pt>
                <c:pt idx="24">
                  <c:v>4.3</c:v>
                </c:pt>
                <c:pt idx="25">
                  <c:v>4.3</c:v>
                </c:pt>
                <c:pt idx="26">
                  <c:v>4.3</c:v>
                </c:pt>
                <c:pt idx="27">
                  <c:v>4.3</c:v>
                </c:pt>
                <c:pt idx="28">
                  <c:v>4.3</c:v>
                </c:pt>
                <c:pt idx="29">
                  <c:v>4.3</c:v>
                </c:pt>
                <c:pt idx="30">
                  <c:v>4.3</c:v>
                </c:pt>
                <c:pt idx="31">
                  <c:v>4.3</c:v>
                </c:pt>
                <c:pt idx="32">
                  <c:v>4.3</c:v>
                </c:pt>
                <c:pt idx="33">
                  <c:v>4.3</c:v>
                </c:pt>
                <c:pt idx="34">
                  <c:v>4.3</c:v>
                </c:pt>
                <c:pt idx="35">
                  <c:v>4.3</c:v>
                </c:pt>
                <c:pt idx="36">
                  <c:v>4.3</c:v>
                </c:pt>
                <c:pt idx="37">
                  <c:v>4.3</c:v>
                </c:pt>
                <c:pt idx="38">
                  <c:v>4.3</c:v>
                </c:pt>
                <c:pt idx="39">
                  <c:v>4.3</c:v>
                </c:pt>
                <c:pt idx="40">
                  <c:v>4.3</c:v>
                </c:pt>
                <c:pt idx="41">
                  <c:v>4.4000000000000004</c:v>
                </c:pt>
                <c:pt idx="42">
                  <c:v>4.4000000000000004</c:v>
                </c:pt>
                <c:pt idx="43">
                  <c:v>4.4000000000000004</c:v>
                </c:pt>
                <c:pt idx="44">
                  <c:v>4.4000000000000004</c:v>
                </c:pt>
                <c:pt idx="45">
                  <c:v>4.4000000000000004</c:v>
                </c:pt>
                <c:pt idx="46">
                  <c:v>4.4000000000000004</c:v>
                </c:pt>
                <c:pt idx="47">
                  <c:v>4.4000000000000004</c:v>
                </c:pt>
                <c:pt idx="48">
                  <c:v>4.4000000000000004</c:v>
                </c:pt>
                <c:pt idx="49">
                  <c:v>4.4000000000000004</c:v>
                </c:pt>
                <c:pt idx="50">
                  <c:v>4.4000000000000004</c:v>
                </c:pt>
                <c:pt idx="51">
                  <c:v>4.4000000000000004</c:v>
                </c:pt>
                <c:pt idx="52">
                  <c:v>4.4000000000000004</c:v>
                </c:pt>
                <c:pt idx="53">
                  <c:v>4.4000000000000004</c:v>
                </c:pt>
                <c:pt idx="54">
                  <c:v>4.4000000000000004</c:v>
                </c:pt>
                <c:pt idx="55">
                  <c:v>4.5</c:v>
                </c:pt>
                <c:pt idx="56">
                  <c:v>4.5</c:v>
                </c:pt>
                <c:pt idx="57">
                  <c:v>4.5</c:v>
                </c:pt>
                <c:pt idx="58">
                  <c:v>4.5</c:v>
                </c:pt>
                <c:pt idx="59">
                  <c:v>4.5</c:v>
                </c:pt>
                <c:pt idx="60">
                  <c:v>4.5</c:v>
                </c:pt>
                <c:pt idx="61">
                  <c:v>4.5</c:v>
                </c:pt>
                <c:pt idx="62">
                  <c:v>4.5</c:v>
                </c:pt>
                <c:pt idx="63">
                  <c:v>4.5</c:v>
                </c:pt>
                <c:pt idx="64">
                  <c:v>4.5</c:v>
                </c:pt>
                <c:pt idx="65">
                  <c:v>4.5</c:v>
                </c:pt>
                <c:pt idx="66">
                  <c:v>4.5999999999999996</c:v>
                </c:pt>
                <c:pt idx="67">
                  <c:v>4.5999999999999996</c:v>
                </c:pt>
                <c:pt idx="68">
                  <c:v>4.5999999999999996</c:v>
                </c:pt>
                <c:pt idx="69">
                  <c:v>4.5999999999999996</c:v>
                </c:pt>
                <c:pt idx="70">
                  <c:v>4.5999999999999996</c:v>
                </c:pt>
                <c:pt idx="71">
                  <c:v>4.5999999999999996</c:v>
                </c:pt>
                <c:pt idx="72">
                  <c:v>4.5999999999999996</c:v>
                </c:pt>
                <c:pt idx="73">
                  <c:v>4.5999999999999996</c:v>
                </c:pt>
                <c:pt idx="74">
                  <c:v>4.5999999999999996</c:v>
                </c:pt>
                <c:pt idx="75">
                  <c:v>4.7</c:v>
                </c:pt>
                <c:pt idx="76">
                  <c:v>4.7</c:v>
                </c:pt>
                <c:pt idx="77">
                  <c:v>4.7</c:v>
                </c:pt>
                <c:pt idx="78">
                  <c:v>4.7</c:v>
                </c:pt>
                <c:pt idx="79">
                  <c:v>4.7</c:v>
                </c:pt>
                <c:pt idx="80">
                  <c:v>4.7</c:v>
                </c:pt>
                <c:pt idx="81">
                  <c:v>4.7</c:v>
                </c:pt>
                <c:pt idx="82">
                  <c:v>4.7</c:v>
                </c:pt>
                <c:pt idx="83">
                  <c:v>4.8</c:v>
                </c:pt>
                <c:pt idx="84">
                  <c:v>4.8</c:v>
                </c:pt>
                <c:pt idx="85">
                  <c:v>4.8</c:v>
                </c:pt>
                <c:pt idx="86">
                  <c:v>4.8</c:v>
                </c:pt>
                <c:pt idx="87">
                  <c:v>4.8</c:v>
                </c:pt>
                <c:pt idx="88">
                  <c:v>4.8</c:v>
                </c:pt>
                <c:pt idx="89">
                  <c:v>4.8</c:v>
                </c:pt>
                <c:pt idx="90">
                  <c:v>4.9000000000000004</c:v>
                </c:pt>
                <c:pt idx="91">
                  <c:v>4.9000000000000004</c:v>
                </c:pt>
                <c:pt idx="92">
                  <c:v>4.9000000000000004</c:v>
                </c:pt>
                <c:pt idx="93">
                  <c:v>4.9000000000000004</c:v>
                </c:pt>
                <c:pt idx="94">
                  <c:v>4.9000000000000004</c:v>
                </c:pt>
                <c:pt idx="95">
                  <c:v>4.9000000000000004</c:v>
                </c:pt>
                <c:pt idx="96">
                  <c:v>5</c:v>
                </c:pt>
                <c:pt idx="97">
                  <c:v>5</c:v>
                </c:pt>
                <c:pt idx="98">
                  <c:v>5</c:v>
                </c:pt>
                <c:pt idx="99">
                  <c:v>5</c:v>
                </c:pt>
                <c:pt idx="100">
                  <c:v>5</c:v>
                </c:pt>
                <c:pt idx="101">
                  <c:v>5</c:v>
                </c:pt>
                <c:pt idx="102">
                  <c:v>5.0999999999999996</c:v>
                </c:pt>
                <c:pt idx="103">
                  <c:v>5.0999999999999996</c:v>
                </c:pt>
                <c:pt idx="104">
                  <c:v>5.0999999999999996</c:v>
                </c:pt>
                <c:pt idx="105">
                  <c:v>5.0999999999999996</c:v>
                </c:pt>
                <c:pt idx="106">
                  <c:v>5.0999999999999996</c:v>
                </c:pt>
                <c:pt idx="107">
                  <c:v>5.2</c:v>
                </c:pt>
                <c:pt idx="108">
                  <c:v>5.2</c:v>
                </c:pt>
                <c:pt idx="109">
                  <c:v>5.2</c:v>
                </c:pt>
                <c:pt idx="110">
                  <c:v>5.2</c:v>
                </c:pt>
                <c:pt idx="111">
                  <c:v>5.3</c:v>
                </c:pt>
                <c:pt idx="112">
                  <c:v>5.3</c:v>
                </c:pt>
                <c:pt idx="113">
                  <c:v>5.3</c:v>
                </c:pt>
                <c:pt idx="114">
                  <c:v>5.3</c:v>
                </c:pt>
                <c:pt idx="115">
                  <c:v>5.4</c:v>
                </c:pt>
                <c:pt idx="116">
                  <c:v>5.4</c:v>
                </c:pt>
                <c:pt idx="117">
                  <c:v>5.4</c:v>
                </c:pt>
                <c:pt idx="118">
                  <c:v>5.4</c:v>
                </c:pt>
                <c:pt idx="119">
                  <c:v>5.5</c:v>
                </c:pt>
                <c:pt idx="120">
                  <c:v>5.5</c:v>
                </c:pt>
                <c:pt idx="121">
                  <c:v>5.5</c:v>
                </c:pt>
                <c:pt idx="122">
                  <c:v>5.6</c:v>
                </c:pt>
                <c:pt idx="123">
                  <c:v>5.6</c:v>
                </c:pt>
                <c:pt idx="124">
                  <c:v>5.6</c:v>
                </c:pt>
                <c:pt idx="125">
                  <c:v>5.6</c:v>
                </c:pt>
                <c:pt idx="126">
                  <c:v>5.7</c:v>
                </c:pt>
                <c:pt idx="127">
                  <c:v>5.7</c:v>
                </c:pt>
                <c:pt idx="128">
                  <c:v>5.7</c:v>
                </c:pt>
                <c:pt idx="129">
                  <c:v>5.8</c:v>
                </c:pt>
                <c:pt idx="130">
                  <c:v>5.8</c:v>
                </c:pt>
                <c:pt idx="131">
                  <c:v>5.9</c:v>
                </c:pt>
                <c:pt idx="132">
                  <c:v>5.9</c:v>
                </c:pt>
                <c:pt idx="133">
                  <c:v>5.9</c:v>
                </c:pt>
                <c:pt idx="134">
                  <c:v>6</c:v>
                </c:pt>
                <c:pt idx="135">
                  <c:v>6</c:v>
                </c:pt>
                <c:pt idx="136">
                  <c:v>6.1</c:v>
                </c:pt>
                <c:pt idx="137">
                  <c:v>6.1</c:v>
                </c:pt>
                <c:pt idx="138">
                  <c:v>6.2</c:v>
                </c:pt>
                <c:pt idx="139">
                  <c:v>6.2</c:v>
                </c:pt>
                <c:pt idx="140">
                  <c:v>6.3</c:v>
                </c:pt>
                <c:pt idx="141">
                  <c:v>6.3</c:v>
                </c:pt>
                <c:pt idx="142">
                  <c:v>6.4</c:v>
                </c:pt>
                <c:pt idx="143">
                  <c:v>6.4</c:v>
                </c:pt>
                <c:pt idx="144">
                  <c:v>6.5</c:v>
                </c:pt>
                <c:pt idx="145">
                  <c:v>6.5</c:v>
                </c:pt>
                <c:pt idx="146">
                  <c:v>6.6</c:v>
                </c:pt>
                <c:pt idx="147">
                  <c:v>6.7</c:v>
                </c:pt>
                <c:pt idx="148">
                  <c:v>6.7</c:v>
                </c:pt>
                <c:pt idx="149">
                  <c:v>6.8</c:v>
                </c:pt>
                <c:pt idx="150">
                  <c:v>6.9</c:v>
                </c:pt>
                <c:pt idx="151">
                  <c:v>6.9</c:v>
                </c:pt>
                <c:pt idx="152">
                  <c:v>7</c:v>
                </c:pt>
                <c:pt idx="153">
                  <c:v>7.1</c:v>
                </c:pt>
                <c:pt idx="154">
                  <c:v>7.2</c:v>
                </c:pt>
                <c:pt idx="155">
                  <c:v>7.3</c:v>
                </c:pt>
                <c:pt idx="156">
                  <c:v>7.3</c:v>
                </c:pt>
                <c:pt idx="157">
                  <c:v>7.4</c:v>
                </c:pt>
                <c:pt idx="158">
                  <c:v>7.5</c:v>
                </c:pt>
                <c:pt idx="159">
                  <c:v>7.6</c:v>
                </c:pt>
                <c:pt idx="160">
                  <c:v>7.8</c:v>
                </c:pt>
                <c:pt idx="161">
                  <c:v>7.9</c:v>
                </c:pt>
                <c:pt idx="162">
                  <c:v>8</c:v>
                </c:pt>
                <c:pt idx="163">
                  <c:v>8.1</c:v>
                </c:pt>
                <c:pt idx="164">
                  <c:v>8.1999999999999993</c:v>
                </c:pt>
                <c:pt idx="165">
                  <c:v>8.4</c:v>
                </c:pt>
                <c:pt idx="166">
                  <c:v>8.5</c:v>
                </c:pt>
                <c:pt idx="167">
                  <c:v>8.6999999999999993</c:v>
                </c:pt>
                <c:pt idx="168">
                  <c:v>8.8000000000000007</c:v>
                </c:pt>
                <c:pt idx="169">
                  <c:v>9</c:v>
                </c:pt>
                <c:pt idx="170">
                  <c:v>9.1999999999999993</c:v>
                </c:pt>
                <c:pt idx="171">
                  <c:v>9.4</c:v>
                </c:pt>
                <c:pt idx="172">
                  <c:v>9.6</c:v>
                </c:pt>
                <c:pt idx="173">
                  <c:v>9.8000000000000007</c:v>
                </c:pt>
                <c:pt idx="174">
                  <c:v>10</c:v>
                </c:pt>
                <c:pt idx="175">
                  <c:v>10.199999999999999</c:v>
                </c:pt>
                <c:pt idx="176">
                  <c:v>10.5</c:v>
                </c:pt>
                <c:pt idx="177">
                  <c:v>10.7</c:v>
                </c:pt>
                <c:pt idx="178">
                  <c:v>11</c:v>
                </c:pt>
                <c:pt idx="179">
                  <c:v>11.3</c:v>
                </c:pt>
                <c:pt idx="180">
                  <c:v>11.6</c:v>
                </c:pt>
                <c:pt idx="181">
                  <c:v>12</c:v>
                </c:pt>
                <c:pt idx="182">
                  <c:v>12.3</c:v>
                </c:pt>
                <c:pt idx="183">
                  <c:v>12.7</c:v>
                </c:pt>
                <c:pt idx="184">
                  <c:v>13.1</c:v>
                </c:pt>
                <c:pt idx="185">
                  <c:v>13.5</c:v>
                </c:pt>
                <c:pt idx="186">
                  <c:v>14</c:v>
                </c:pt>
                <c:pt idx="187">
                  <c:v>14.5</c:v>
                </c:pt>
                <c:pt idx="188">
                  <c:v>15</c:v>
                </c:pt>
                <c:pt idx="189">
                  <c:v>15.6</c:v>
                </c:pt>
                <c:pt idx="190">
                  <c:v>16.2</c:v>
                </c:pt>
                <c:pt idx="191">
                  <c:v>16.8</c:v>
                </c:pt>
                <c:pt idx="192">
                  <c:v>17.5</c:v>
                </c:pt>
                <c:pt idx="193">
                  <c:v>18.2</c:v>
                </c:pt>
                <c:pt idx="194">
                  <c:v>19</c:v>
                </c:pt>
                <c:pt idx="195">
                  <c:v>19.8</c:v>
                </c:pt>
                <c:pt idx="196">
                  <c:v>20.7</c:v>
                </c:pt>
                <c:pt idx="197">
                  <c:v>21.6</c:v>
                </c:pt>
                <c:pt idx="198">
                  <c:v>22.6</c:v>
                </c:pt>
                <c:pt idx="199">
                  <c:v>23.6</c:v>
                </c:pt>
                <c:pt idx="200">
                  <c:v>24.7</c:v>
                </c:pt>
                <c:pt idx="201">
                  <c:v>25.8</c:v>
                </c:pt>
                <c:pt idx="202">
                  <c:v>26.9</c:v>
                </c:pt>
                <c:pt idx="203">
                  <c:v>28.1</c:v>
                </c:pt>
                <c:pt idx="204">
                  <c:v>29.3</c:v>
                </c:pt>
                <c:pt idx="205">
                  <c:v>30.5</c:v>
                </c:pt>
                <c:pt idx="206">
                  <c:v>31.7</c:v>
                </c:pt>
                <c:pt idx="207">
                  <c:v>32.799999999999997</c:v>
                </c:pt>
                <c:pt idx="208">
                  <c:v>33.9</c:v>
                </c:pt>
                <c:pt idx="209">
                  <c:v>35</c:v>
                </c:pt>
                <c:pt idx="210">
                  <c:v>35.799999999999997</c:v>
                </c:pt>
                <c:pt idx="211">
                  <c:v>36.6</c:v>
                </c:pt>
                <c:pt idx="212">
                  <c:v>37.1</c:v>
                </c:pt>
                <c:pt idx="213">
                  <c:v>37.299999999999997</c:v>
                </c:pt>
                <c:pt idx="214">
                  <c:v>37.299999999999997</c:v>
                </c:pt>
                <c:pt idx="215">
                  <c:v>37</c:v>
                </c:pt>
                <c:pt idx="216">
                  <c:v>36.6</c:v>
                </c:pt>
                <c:pt idx="217">
                  <c:v>36.1</c:v>
                </c:pt>
                <c:pt idx="218">
                  <c:v>35.4</c:v>
                </c:pt>
                <c:pt idx="219">
                  <c:v>34.6</c:v>
                </c:pt>
                <c:pt idx="220">
                  <c:v>33.799999999999997</c:v>
                </c:pt>
                <c:pt idx="221">
                  <c:v>32.9</c:v>
                </c:pt>
                <c:pt idx="222">
                  <c:v>32</c:v>
                </c:pt>
                <c:pt idx="223">
                  <c:v>31.1</c:v>
                </c:pt>
                <c:pt idx="224">
                  <c:v>30.2</c:v>
                </c:pt>
                <c:pt idx="225">
                  <c:v>29.3</c:v>
                </c:pt>
                <c:pt idx="226">
                  <c:v>28.5</c:v>
                </c:pt>
                <c:pt idx="227">
                  <c:v>27.6</c:v>
                </c:pt>
                <c:pt idx="228">
                  <c:v>26.8</c:v>
                </c:pt>
                <c:pt idx="229">
                  <c:v>26</c:v>
                </c:pt>
                <c:pt idx="230">
                  <c:v>25.2</c:v>
                </c:pt>
                <c:pt idx="231">
                  <c:v>24.5</c:v>
                </c:pt>
                <c:pt idx="232">
                  <c:v>23.8</c:v>
                </c:pt>
                <c:pt idx="233">
                  <c:v>23.1</c:v>
                </c:pt>
                <c:pt idx="234">
                  <c:v>22.5</c:v>
                </c:pt>
                <c:pt idx="235">
                  <c:v>21.9</c:v>
                </c:pt>
                <c:pt idx="236">
                  <c:v>21.4</c:v>
                </c:pt>
                <c:pt idx="237">
                  <c:v>20.8</c:v>
                </c:pt>
                <c:pt idx="238">
                  <c:v>20.3</c:v>
                </c:pt>
                <c:pt idx="239">
                  <c:v>19.8</c:v>
                </c:pt>
                <c:pt idx="240">
                  <c:v>19.399999999999999</c:v>
                </c:pt>
                <c:pt idx="241">
                  <c:v>19</c:v>
                </c:pt>
                <c:pt idx="242">
                  <c:v>18.600000000000001</c:v>
                </c:pt>
                <c:pt idx="243">
                  <c:v>18.2</c:v>
                </c:pt>
                <c:pt idx="244">
                  <c:v>17.899999999999999</c:v>
                </c:pt>
                <c:pt idx="245">
                  <c:v>17.5</c:v>
                </c:pt>
                <c:pt idx="246">
                  <c:v>17.2</c:v>
                </c:pt>
                <c:pt idx="247">
                  <c:v>16.899999999999999</c:v>
                </c:pt>
                <c:pt idx="248">
                  <c:v>16.600000000000001</c:v>
                </c:pt>
                <c:pt idx="249">
                  <c:v>16.399999999999999</c:v>
                </c:pt>
                <c:pt idx="250">
                  <c:v>16.100000000000001</c:v>
                </c:pt>
                <c:pt idx="251">
                  <c:v>15.9</c:v>
                </c:pt>
                <c:pt idx="252">
                  <c:v>15.7</c:v>
                </c:pt>
                <c:pt idx="253">
                  <c:v>15.5</c:v>
                </c:pt>
                <c:pt idx="254">
                  <c:v>15.3</c:v>
                </c:pt>
                <c:pt idx="255">
                  <c:v>15.1</c:v>
                </c:pt>
                <c:pt idx="256">
                  <c:v>14.9</c:v>
                </c:pt>
                <c:pt idx="257">
                  <c:v>14.8</c:v>
                </c:pt>
                <c:pt idx="258">
                  <c:v>14.6</c:v>
                </c:pt>
                <c:pt idx="259">
                  <c:v>14.5</c:v>
                </c:pt>
                <c:pt idx="260">
                  <c:v>14.3</c:v>
                </c:pt>
                <c:pt idx="261">
                  <c:v>14.2</c:v>
                </c:pt>
                <c:pt idx="262">
                  <c:v>14.1</c:v>
                </c:pt>
                <c:pt idx="263">
                  <c:v>14</c:v>
                </c:pt>
                <c:pt idx="264">
                  <c:v>13.9</c:v>
                </c:pt>
                <c:pt idx="265">
                  <c:v>13.8</c:v>
                </c:pt>
                <c:pt idx="266">
                  <c:v>13.7</c:v>
                </c:pt>
                <c:pt idx="267">
                  <c:v>13.6</c:v>
                </c:pt>
                <c:pt idx="268">
                  <c:v>13.5</c:v>
                </c:pt>
                <c:pt idx="269">
                  <c:v>13.4</c:v>
                </c:pt>
                <c:pt idx="270">
                  <c:v>13.4</c:v>
                </c:pt>
                <c:pt idx="271">
                  <c:v>13.3</c:v>
                </c:pt>
                <c:pt idx="272">
                  <c:v>13.2</c:v>
                </c:pt>
                <c:pt idx="273">
                  <c:v>13.2</c:v>
                </c:pt>
                <c:pt idx="274">
                  <c:v>13.1</c:v>
                </c:pt>
                <c:pt idx="275">
                  <c:v>13.1</c:v>
                </c:pt>
                <c:pt idx="276">
                  <c:v>13</c:v>
                </c:pt>
                <c:pt idx="277">
                  <c:v>13</c:v>
                </c:pt>
                <c:pt idx="278">
                  <c:v>12.9</c:v>
                </c:pt>
                <c:pt idx="279">
                  <c:v>12.9</c:v>
                </c:pt>
                <c:pt idx="280">
                  <c:v>12.9</c:v>
                </c:pt>
                <c:pt idx="281">
                  <c:v>12.8</c:v>
                </c:pt>
                <c:pt idx="282">
                  <c:v>12.8</c:v>
                </c:pt>
                <c:pt idx="283">
                  <c:v>12.8</c:v>
                </c:pt>
                <c:pt idx="284">
                  <c:v>12.8</c:v>
                </c:pt>
                <c:pt idx="285">
                  <c:v>12.8</c:v>
                </c:pt>
                <c:pt idx="286">
                  <c:v>12.7</c:v>
                </c:pt>
                <c:pt idx="287">
                  <c:v>12.7</c:v>
                </c:pt>
                <c:pt idx="288">
                  <c:v>12.7</c:v>
                </c:pt>
                <c:pt idx="289">
                  <c:v>12.7</c:v>
                </c:pt>
                <c:pt idx="290">
                  <c:v>12.7</c:v>
                </c:pt>
                <c:pt idx="291">
                  <c:v>12.7</c:v>
                </c:pt>
                <c:pt idx="292">
                  <c:v>12.7</c:v>
                </c:pt>
                <c:pt idx="293">
                  <c:v>12.7</c:v>
                </c:pt>
                <c:pt idx="294">
                  <c:v>12.7</c:v>
                </c:pt>
                <c:pt idx="295">
                  <c:v>12.7</c:v>
                </c:pt>
                <c:pt idx="296">
                  <c:v>12.7</c:v>
                </c:pt>
                <c:pt idx="297">
                  <c:v>12.7</c:v>
                </c:pt>
                <c:pt idx="298">
                  <c:v>12.7</c:v>
                </c:pt>
                <c:pt idx="299">
                  <c:v>12.7</c:v>
                </c:pt>
                <c:pt idx="300">
                  <c:v>12.7</c:v>
                </c:pt>
                <c:pt idx="301">
                  <c:v>12.7</c:v>
                </c:pt>
                <c:pt idx="302">
                  <c:v>12.7</c:v>
                </c:pt>
                <c:pt idx="303">
                  <c:v>12.8</c:v>
                </c:pt>
                <c:pt idx="304">
                  <c:v>12.8</c:v>
                </c:pt>
                <c:pt idx="305">
                  <c:v>12.8</c:v>
                </c:pt>
                <c:pt idx="306">
                  <c:v>12.8</c:v>
                </c:pt>
                <c:pt idx="307">
                  <c:v>12.8</c:v>
                </c:pt>
                <c:pt idx="308">
                  <c:v>12.9</c:v>
                </c:pt>
                <c:pt idx="309">
                  <c:v>12.9</c:v>
                </c:pt>
                <c:pt idx="310">
                  <c:v>12.9</c:v>
                </c:pt>
                <c:pt idx="311">
                  <c:v>12.9</c:v>
                </c:pt>
                <c:pt idx="312">
                  <c:v>13</c:v>
                </c:pt>
                <c:pt idx="313">
                  <c:v>13</c:v>
                </c:pt>
                <c:pt idx="314">
                  <c:v>13</c:v>
                </c:pt>
                <c:pt idx="315">
                  <c:v>13</c:v>
                </c:pt>
                <c:pt idx="316">
                  <c:v>13.1</c:v>
                </c:pt>
                <c:pt idx="317">
                  <c:v>13.1</c:v>
                </c:pt>
                <c:pt idx="318">
                  <c:v>13.1</c:v>
                </c:pt>
                <c:pt idx="319">
                  <c:v>13.2</c:v>
                </c:pt>
                <c:pt idx="320">
                  <c:v>13.2</c:v>
                </c:pt>
                <c:pt idx="321">
                  <c:v>13.2</c:v>
                </c:pt>
                <c:pt idx="322">
                  <c:v>13.3</c:v>
                </c:pt>
                <c:pt idx="323">
                  <c:v>13.3</c:v>
                </c:pt>
                <c:pt idx="324">
                  <c:v>13.4</c:v>
                </c:pt>
                <c:pt idx="325">
                  <c:v>13.4</c:v>
                </c:pt>
                <c:pt idx="326">
                  <c:v>13.4</c:v>
                </c:pt>
                <c:pt idx="327">
                  <c:v>13.5</c:v>
                </c:pt>
                <c:pt idx="328">
                  <c:v>13.5</c:v>
                </c:pt>
                <c:pt idx="329">
                  <c:v>13.6</c:v>
                </c:pt>
                <c:pt idx="330">
                  <c:v>13.6</c:v>
                </c:pt>
                <c:pt idx="331">
                  <c:v>13.7</c:v>
                </c:pt>
                <c:pt idx="332">
                  <c:v>13.7</c:v>
                </c:pt>
                <c:pt idx="333">
                  <c:v>13.8</c:v>
                </c:pt>
                <c:pt idx="334">
                  <c:v>13.8</c:v>
                </c:pt>
                <c:pt idx="335">
                  <c:v>13.9</c:v>
                </c:pt>
                <c:pt idx="336">
                  <c:v>13.9</c:v>
                </c:pt>
                <c:pt idx="337">
                  <c:v>14</c:v>
                </c:pt>
                <c:pt idx="338">
                  <c:v>14</c:v>
                </c:pt>
                <c:pt idx="339">
                  <c:v>14.1</c:v>
                </c:pt>
                <c:pt idx="340">
                  <c:v>14.1</c:v>
                </c:pt>
                <c:pt idx="341">
                  <c:v>14.2</c:v>
                </c:pt>
                <c:pt idx="342">
                  <c:v>14.3</c:v>
                </c:pt>
                <c:pt idx="343">
                  <c:v>14.3</c:v>
                </c:pt>
                <c:pt idx="344">
                  <c:v>14.4</c:v>
                </c:pt>
                <c:pt idx="345">
                  <c:v>14.4</c:v>
                </c:pt>
                <c:pt idx="346">
                  <c:v>14.5</c:v>
                </c:pt>
                <c:pt idx="347">
                  <c:v>14.6</c:v>
                </c:pt>
                <c:pt idx="348">
                  <c:v>14.6</c:v>
                </c:pt>
                <c:pt idx="349">
                  <c:v>14.7</c:v>
                </c:pt>
                <c:pt idx="350">
                  <c:v>14.8</c:v>
                </c:pt>
                <c:pt idx="351">
                  <c:v>14.8</c:v>
                </c:pt>
                <c:pt idx="352">
                  <c:v>14.9</c:v>
                </c:pt>
                <c:pt idx="353">
                  <c:v>15</c:v>
                </c:pt>
                <c:pt idx="354">
                  <c:v>15</c:v>
                </c:pt>
                <c:pt idx="355">
                  <c:v>15.1</c:v>
                </c:pt>
                <c:pt idx="356">
                  <c:v>15.2</c:v>
                </c:pt>
                <c:pt idx="357">
                  <c:v>15.3</c:v>
                </c:pt>
                <c:pt idx="358">
                  <c:v>15.3</c:v>
                </c:pt>
                <c:pt idx="359">
                  <c:v>15.4</c:v>
                </c:pt>
                <c:pt idx="360">
                  <c:v>15.5</c:v>
                </c:pt>
                <c:pt idx="361">
                  <c:v>15.6</c:v>
                </c:pt>
                <c:pt idx="362">
                  <c:v>15.7</c:v>
                </c:pt>
                <c:pt idx="363">
                  <c:v>15.7</c:v>
                </c:pt>
                <c:pt idx="364">
                  <c:v>15.8</c:v>
                </c:pt>
                <c:pt idx="365">
                  <c:v>15.9</c:v>
                </c:pt>
                <c:pt idx="366">
                  <c:v>16</c:v>
                </c:pt>
                <c:pt idx="367">
                  <c:v>16.100000000000001</c:v>
                </c:pt>
                <c:pt idx="368">
                  <c:v>16.2</c:v>
                </c:pt>
                <c:pt idx="369">
                  <c:v>16.2</c:v>
                </c:pt>
                <c:pt idx="370">
                  <c:v>16.3</c:v>
                </c:pt>
                <c:pt idx="371">
                  <c:v>16.399999999999999</c:v>
                </c:pt>
                <c:pt idx="372">
                  <c:v>16.5</c:v>
                </c:pt>
                <c:pt idx="373">
                  <c:v>16.600000000000001</c:v>
                </c:pt>
                <c:pt idx="374">
                  <c:v>16.7</c:v>
                </c:pt>
                <c:pt idx="375">
                  <c:v>16.8</c:v>
                </c:pt>
                <c:pt idx="376">
                  <c:v>16.899999999999999</c:v>
                </c:pt>
                <c:pt idx="377">
                  <c:v>17</c:v>
                </c:pt>
                <c:pt idx="378">
                  <c:v>17.100000000000001</c:v>
                </c:pt>
                <c:pt idx="379">
                  <c:v>17.2</c:v>
                </c:pt>
                <c:pt idx="380">
                  <c:v>17.3</c:v>
                </c:pt>
                <c:pt idx="381">
                  <c:v>17.399999999999999</c:v>
                </c:pt>
                <c:pt idx="382">
                  <c:v>17.5</c:v>
                </c:pt>
                <c:pt idx="383">
                  <c:v>17.600000000000001</c:v>
                </c:pt>
                <c:pt idx="384">
                  <c:v>17.8</c:v>
                </c:pt>
                <c:pt idx="385">
                  <c:v>17.899999999999999</c:v>
                </c:pt>
                <c:pt idx="386">
                  <c:v>18</c:v>
                </c:pt>
                <c:pt idx="387">
                  <c:v>18.100000000000001</c:v>
                </c:pt>
                <c:pt idx="388">
                  <c:v>18.2</c:v>
                </c:pt>
                <c:pt idx="389">
                  <c:v>18.3</c:v>
                </c:pt>
                <c:pt idx="390">
                  <c:v>18.5</c:v>
                </c:pt>
                <c:pt idx="391">
                  <c:v>18.600000000000001</c:v>
                </c:pt>
                <c:pt idx="392">
                  <c:v>18.7</c:v>
                </c:pt>
                <c:pt idx="393">
                  <c:v>18.8</c:v>
                </c:pt>
                <c:pt idx="394">
                  <c:v>19</c:v>
                </c:pt>
                <c:pt idx="395">
                  <c:v>19.100000000000001</c:v>
                </c:pt>
                <c:pt idx="396">
                  <c:v>19.2</c:v>
                </c:pt>
                <c:pt idx="397">
                  <c:v>19.399999999999999</c:v>
                </c:pt>
                <c:pt idx="398">
                  <c:v>19.5</c:v>
                </c:pt>
                <c:pt idx="399">
                  <c:v>19.600000000000001</c:v>
                </c:pt>
                <c:pt idx="400">
                  <c:v>19.8</c:v>
                </c:pt>
                <c:pt idx="401">
                  <c:v>19.899999999999999</c:v>
                </c:pt>
                <c:pt idx="402">
                  <c:v>20.100000000000001</c:v>
                </c:pt>
                <c:pt idx="403">
                  <c:v>20.2</c:v>
                </c:pt>
                <c:pt idx="404">
                  <c:v>20.399999999999999</c:v>
                </c:pt>
                <c:pt idx="405">
                  <c:v>20.5</c:v>
                </c:pt>
                <c:pt idx="406">
                  <c:v>20.7</c:v>
                </c:pt>
                <c:pt idx="407">
                  <c:v>20.8</c:v>
                </c:pt>
                <c:pt idx="408">
                  <c:v>21</c:v>
                </c:pt>
                <c:pt idx="409">
                  <c:v>21.2</c:v>
                </c:pt>
                <c:pt idx="410">
                  <c:v>21.3</c:v>
                </c:pt>
                <c:pt idx="411">
                  <c:v>21.5</c:v>
                </c:pt>
                <c:pt idx="412">
                  <c:v>21.7</c:v>
                </c:pt>
                <c:pt idx="413">
                  <c:v>21.9</c:v>
                </c:pt>
                <c:pt idx="414">
                  <c:v>22</c:v>
                </c:pt>
                <c:pt idx="415">
                  <c:v>22.2</c:v>
                </c:pt>
                <c:pt idx="416">
                  <c:v>22.4</c:v>
                </c:pt>
                <c:pt idx="417">
                  <c:v>22.6</c:v>
                </c:pt>
                <c:pt idx="418">
                  <c:v>22.8</c:v>
                </c:pt>
                <c:pt idx="419">
                  <c:v>23</c:v>
                </c:pt>
                <c:pt idx="420">
                  <c:v>23.2</c:v>
                </c:pt>
                <c:pt idx="421">
                  <c:v>23.4</c:v>
                </c:pt>
                <c:pt idx="422">
                  <c:v>23.6</c:v>
                </c:pt>
                <c:pt idx="423">
                  <c:v>23.8</c:v>
                </c:pt>
                <c:pt idx="424">
                  <c:v>24</c:v>
                </c:pt>
                <c:pt idx="425">
                  <c:v>24.2</c:v>
                </c:pt>
                <c:pt idx="426">
                  <c:v>24.5</c:v>
                </c:pt>
                <c:pt idx="427">
                  <c:v>24.7</c:v>
                </c:pt>
                <c:pt idx="428">
                  <c:v>24.9</c:v>
                </c:pt>
                <c:pt idx="429">
                  <c:v>25.1</c:v>
                </c:pt>
                <c:pt idx="430">
                  <c:v>25.4</c:v>
                </c:pt>
                <c:pt idx="431">
                  <c:v>25.6</c:v>
                </c:pt>
                <c:pt idx="432">
                  <c:v>25.9</c:v>
                </c:pt>
                <c:pt idx="433">
                  <c:v>26.1</c:v>
                </c:pt>
                <c:pt idx="434">
                  <c:v>26.4</c:v>
                </c:pt>
                <c:pt idx="435">
                  <c:v>26.7</c:v>
                </c:pt>
                <c:pt idx="436">
                  <c:v>26.9</c:v>
                </c:pt>
                <c:pt idx="437">
                  <c:v>27.2</c:v>
                </c:pt>
                <c:pt idx="438">
                  <c:v>27.5</c:v>
                </c:pt>
                <c:pt idx="439">
                  <c:v>27.8</c:v>
                </c:pt>
                <c:pt idx="440">
                  <c:v>28.1</c:v>
                </c:pt>
                <c:pt idx="441">
                  <c:v>28.4</c:v>
                </c:pt>
                <c:pt idx="442">
                  <c:v>28.7</c:v>
                </c:pt>
                <c:pt idx="443">
                  <c:v>29</c:v>
                </c:pt>
                <c:pt idx="444">
                  <c:v>29.3</c:v>
                </c:pt>
                <c:pt idx="445">
                  <c:v>29.6</c:v>
                </c:pt>
                <c:pt idx="446">
                  <c:v>30</c:v>
                </c:pt>
                <c:pt idx="447">
                  <c:v>30.3</c:v>
                </c:pt>
                <c:pt idx="448">
                  <c:v>30.6</c:v>
                </c:pt>
                <c:pt idx="449">
                  <c:v>31</c:v>
                </c:pt>
                <c:pt idx="450">
                  <c:v>31.4</c:v>
                </c:pt>
                <c:pt idx="451">
                  <c:v>31.7</c:v>
                </c:pt>
                <c:pt idx="452">
                  <c:v>32.1</c:v>
                </c:pt>
                <c:pt idx="453">
                  <c:v>32.5</c:v>
                </c:pt>
                <c:pt idx="454">
                  <c:v>32.9</c:v>
                </c:pt>
                <c:pt idx="455">
                  <c:v>33.299999999999997</c:v>
                </c:pt>
                <c:pt idx="456">
                  <c:v>33.700000000000003</c:v>
                </c:pt>
                <c:pt idx="457">
                  <c:v>34.200000000000003</c:v>
                </c:pt>
                <c:pt idx="458">
                  <c:v>34.6</c:v>
                </c:pt>
                <c:pt idx="459">
                  <c:v>35.1</c:v>
                </c:pt>
                <c:pt idx="460">
                  <c:v>35.5</c:v>
                </c:pt>
                <c:pt idx="461">
                  <c:v>36</c:v>
                </c:pt>
                <c:pt idx="462">
                  <c:v>36.5</c:v>
                </c:pt>
                <c:pt idx="463">
                  <c:v>37</c:v>
                </c:pt>
                <c:pt idx="464">
                  <c:v>37.5</c:v>
                </c:pt>
                <c:pt idx="465">
                  <c:v>38.1</c:v>
                </c:pt>
                <c:pt idx="466">
                  <c:v>38.6</c:v>
                </c:pt>
                <c:pt idx="467">
                  <c:v>39.200000000000003</c:v>
                </c:pt>
                <c:pt idx="468">
                  <c:v>39.700000000000003</c:v>
                </c:pt>
                <c:pt idx="469">
                  <c:v>40.299999999999997</c:v>
                </c:pt>
                <c:pt idx="470">
                  <c:v>41</c:v>
                </c:pt>
                <c:pt idx="471">
                  <c:v>41.6</c:v>
                </c:pt>
                <c:pt idx="472">
                  <c:v>42.2</c:v>
                </c:pt>
                <c:pt idx="473">
                  <c:v>42.9</c:v>
                </c:pt>
                <c:pt idx="474">
                  <c:v>43.6</c:v>
                </c:pt>
                <c:pt idx="475">
                  <c:v>44.3</c:v>
                </c:pt>
                <c:pt idx="476">
                  <c:v>45</c:v>
                </c:pt>
                <c:pt idx="477">
                  <c:v>45.8</c:v>
                </c:pt>
                <c:pt idx="478">
                  <c:v>46.6</c:v>
                </c:pt>
                <c:pt idx="479">
                  <c:v>47.4</c:v>
                </c:pt>
                <c:pt idx="480">
                  <c:v>48.2</c:v>
                </c:pt>
                <c:pt idx="481">
                  <c:v>49.1</c:v>
                </c:pt>
                <c:pt idx="482">
                  <c:v>50</c:v>
                </c:pt>
                <c:pt idx="483">
                  <c:v>50.9</c:v>
                </c:pt>
                <c:pt idx="484">
                  <c:v>51.9</c:v>
                </c:pt>
                <c:pt idx="485">
                  <c:v>52.9</c:v>
                </c:pt>
                <c:pt idx="486">
                  <c:v>54</c:v>
                </c:pt>
                <c:pt idx="487">
                  <c:v>55.1</c:v>
                </c:pt>
                <c:pt idx="488">
                  <c:v>56.2</c:v>
                </c:pt>
                <c:pt idx="489">
                  <c:v>57.4</c:v>
                </c:pt>
                <c:pt idx="490">
                  <c:v>58.7</c:v>
                </c:pt>
                <c:pt idx="491">
                  <c:v>60</c:v>
                </c:pt>
                <c:pt idx="492">
                  <c:v>61.4</c:v>
                </c:pt>
                <c:pt idx="493">
                  <c:v>62.8</c:v>
                </c:pt>
                <c:pt idx="494">
                  <c:v>64.400000000000006</c:v>
                </c:pt>
                <c:pt idx="495">
                  <c:v>66</c:v>
                </c:pt>
                <c:pt idx="496">
                  <c:v>67.7</c:v>
                </c:pt>
                <c:pt idx="497">
                  <c:v>69.5</c:v>
                </c:pt>
                <c:pt idx="498">
                  <c:v>71.400000000000006</c:v>
                </c:pt>
                <c:pt idx="499">
                  <c:v>73.400000000000006</c:v>
                </c:pt>
                <c:pt idx="500">
                  <c:v>75.7</c:v>
                </c:pt>
                <c:pt idx="501">
                  <c:v>77.900000000000006</c:v>
                </c:pt>
                <c:pt idx="502">
                  <c:v>80.3</c:v>
                </c:pt>
                <c:pt idx="503">
                  <c:v>82.9</c:v>
                </c:pt>
                <c:pt idx="504">
                  <c:v>85.8</c:v>
                </c:pt>
                <c:pt idx="505">
                  <c:v>89.2</c:v>
                </c:pt>
                <c:pt idx="506">
                  <c:v>92</c:v>
                </c:pt>
                <c:pt idx="507">
                  <c:v>95.3</c:v>
                </c:pt>
                <c:pt idx="508">
                  <c:v>99</c:v>
                </c:pt>
                <c:pt idx="509">
                  <c:v>103.1</c:v>
                </c:pt>
                <c:pt idx="510">
                  <c:v>108.2</c:v>
                </c:pt>
                <c:pt idx="511">
                  <c:v>112.1</c:v>
                </c:pt>
                <c:pt idx="512">
                  <c:v>116.5</c:v>
                </c:pt>
                <c:pt idx="513">
                  <c:v>121.6</c:v>
                </c:pt>
                <c:pt idx="514">
                  <c:v>127.6</c:v>
                </c:pt>
                <c:pt idx="515">
                  <c:v>134.80000000000001</c:v>
                </c:pt>
                <c:pt idx="516">
                  <c:v>140.6</c:v>
                </c:pt>
                <c:pt idx="517">
                  <c:v>145.9</c:v>
                </c:pt>
                <c:pt idx="518">
                  <c:v>152.5</c:v>
                </c:pt>
                <c:pt idx="519">
                  <c:v>160.19999999999999</c:v>
                </c:pt>
                <c:pt idx="520">
                  <c:v>169.6</c:v>
                </c:pt>
                <c:pt idx="521">
                  <c:v>178.6</c:v>
                </c:pt>
                <c:pt idx="522">
                  <c:v>183.3</c:v>
                </c:pt>
                <c:pt idx="523">
                  <c:v>190.3</c:v>
                </c:pt>
                <c:pt idx="524">
                  <c:v>198.8</c:v>
                </c:pt>
                <c:pt idx="525">
                  <c:v>208.9</c:v>
                </c:pt>
                <c:pt idx="526">
                  <c:v>222.4</c:v>
                </c:pt>
                <c:pt idx="527">
                  <c:v>223.6</c:v>
                </c:pt>
                <c:pt idx="528">
                  <c:v>229.1</c:v>
                </c:pt>
                <c:pt idx="529">
                  <c:v>236.2</c:v>
                </c:pt>
                <c:pt idx="530">
                  <c:v>244.2</c:v>
                </c:pt>
                <c:pt idx="531">
                  <c:v>253.8</c:v>
                </c:pt>
                <c:pt idx="532">
                  <c:v>256.60000000000002</c:v>
                </c:pt>
                <c:pt idx="533">
                  <c:v>259.10000000000002</c:v>
                </c:pt>
                <c:pt idx="534">
                  <c:v>262.89999999999998</c:v>
                </c:pt>
                <c:pt idx="535">
                  <c:v>267.2</c:v>
                </c:pt>
                <c:pt idx="536">
                  <c:v>271.39999999999998</c:v>
                </c:pt>
                <c:pt idx="537">
                  <c:v>274.39999999999998</c:v>
                </c:pt>
                <c:pt idx="538">
                  <c:v>275</c:v>
                </c:pt>
                <c:pt idx="539">
                  <c:v>276.39999999999998</c:v>
                </c:pt>
                <c:pt idx="540">
                  <c:v>277.89999999999998</c:v>
                </c:pt>
                <c:pt idx="541">
                  <c:v>279.2</c:v>
                </c:pt>
                <c:pt idx="542">
                  <c:v>280.39999999999998</c:v>
                </c:pt>
                <c:pt idx="543">
                  <c:v>280.89999999999998</c:v>
                </c:pt>
                <c:pt idx="544">
                  <c:v>281.39999999999998</c:v>
                </c:pt>
                <c:pt idx="545">
                  <c:v>281.89999999999998</c:v>
                </c:pt>
                <c:pt idx="546">
                  <c:v>282.39999999999998</c:v>
                </c:pt>
                <c:pt idx="547">
                  <c:v>282.8</c:v>
                </c:pt>
                <c:pt idx="548">
                  <c:v>283.10000000000002</c:v>
                </c:pt>
                <c:pt idx="549">
                  <c:v>283.39999999999998</c:v>
                </c:pt>
                <c:pt idx="550">
                  <c:v>283.7</c:v>
                </c:pt>
                <c:pt idx="551">
                  <c:v>283.89999999999998</c:v>
                </c:pt>
                <c:pt idx="552">
                  <c:v>284.10000000000002</c:v>
                </c:pt>
                <c:pt idx="553">
                  <c:v>284.3</c:v>
                </c:pt>
                <c:pt idx="554">
                  <c:v>284.5</c:v>
                </c:pt>
                <c:pt idx="555">
                  <c:v>284.60000000000002</c:v>
                </c:pt>
                <c:pt idx="556">
                  <c:v>284.8</c:v>
                </c:pt>
                <c:pt idx="557">
                  <c:v>284.89999999999998</c:v>
                </c:pt>
                <c:pt idx="558">
                  <c:v>285</c:v>
                </c:pt>
                <c:pt idx="559">
                  <c:v>285.10000000000002</c:v>
                </c:pt>
                <c:pt idx="560">
                  <c:v>285.2</c:v>
                </c:pt>
                <c:pt idx="561">
                  <c:v>285.3</c:v>
                </c:pt>
                <c:pt idx="562">
                  <c:v>285.39999999999998</c:v>
                </c:pt>
                <c:pt idx="563">
                  <c:v>285.5</c:v>
                </c:pt>
                <c:pt idx="564">
                  <c:v>285.5</c:v>
                </c:pt>
                <c:pt idx="565">
                  <c:v>285.60000000000002</c:v>
                </c:pt>
                <c:pt idx="566">
                  <c:v>285.7</c:v>
                </c:pt>
                <c:pt idx="567">
                  <c:v>285.7</c:v>
                </c:pt>
                <c:pt idx="568">
                  <c:v>285.8</c:v>
                </c:pt>
                <c:pt idx="569">
                  <c:v>285.8</c:v>
                </c:pt>
                <c:pt idx="570">
                  <c:v>285.89999999999998</c:v>
                </c:pt>
                <c:pt idx="571">
                  <c:v>285.89999999999998</c:v>
                </c:pt>
                <c:pt idx="572">
                  <c:v>286</c:v>
                </c:pt>
                <c:pt idx="573">
                  <c:v>286</c:v>
                </c:pt>
                <c:pt idx="574">
                  <c:v>286</c:v>
                </c:pt>
                <c:pt idx="575">
                  <c:v>286.10000000000002</c:v>
                </c:pt>
                <c:pt idx="576">
                  <c:v>286.10000000000002</c:v>
                </c:pt>
                <c:pt idx="577">
                  <c:v>286.10000000000002</c:v>
                </c:pt>
                <c:pt idx="578">
                  <c:v>286.10000000000002</c:v>
                </c:pt>
                <c:pt idx="579">
                  <c:v>286.10000000000002</c:v>
                </c:pt>
                <c:pt idx="580">
                  <c:v>286.2</c:v>
                </c:pt>
                <c:pt idx="581">
                  <c:v>286.2</c:v>
                </c:pt>
                <c:pt idx="582">
                  <c:v>286.2</c:v>
                </c:pt>
                <c:pt idx="583">
                  <c:v>286.2</c:v>
                </c:pt>
                <c:pt idx="584">
                  <c:v>286.2</c:v>
                </c:pt>
                <c:pt idx="585">
                  <c:v>286.2</c:v>
                </c:pt>
                <c:pt idx="586">
                  <c:v>286.3</c:v>
                </c:pt>
                <c:pt idx="587">
                  <c:v>286.3</c:v>
                </c:pt>
                <c:pt idx="588">
                  <c:v>286.3</c:v>
                </c:pt>
                <c:pt idx="589">
                  <c:v>286.3</c:v>
                </c:pt>
                <c:pt idx="590">
                  <c:v>286.3</c:v>
                </c:pt>
                <c:pt idx="591">
                  <c:v>286.3</c:v>
                </c:pt>
                <c:pt idx="592">
                  <c:v>286.39999999999998</c:v>
                </c:pt>
                <c:pt idx="593">
                  <c:v>286.39999999999998</c:v>
                </c:pt>
                <c:pt idx="594">
                  <c:v>286.39999999999998</c:v>
                </c:pt>
                <c:pt idx="595">
                  <c:v>286.39999999999998</c:v>
                </c:pt>
                <c:pt idx="596">
                  <c:v>286.39999999999998</c:v>
                </c:pt>
                <c:pt idx="597">
                  <c:v>286.39999999999998</c:v>
                </c:pt>
                <c:pt idx="598">
                  <c:v>286.39999999999998</c:v>
                </c:pt>
                <c:pt idx="599">
                  <c:v>286.39999999999998</c:v>
                </c:pt>
                <c:pt idx="600">
                  <c:v>286.3</c:v>
                </c:pt>
                <c:pt idx="601">
                  <c:v>286.3</c:v>
                </c:pt>
                <c:pt idx="602">
                  <c:v>286.3</c:v>
                </c:pt>
                <c:pt idx="603">
                  <c:v>286.3</c:v>
                </c:pt>
                <c:pt idx="604">
                  <c:v>286.3</c:v>
                </c:pt>
                <c:pt idx="605">
                  <c:v>286.3</c:v>
                </c:pt>
                <c:pt idx="606">
                  <c:v>286.3</c:v>
                </c:pt>
                <c:pt idx="607">
                  <c:v>286.2</c:v>
                </c:pt>
                <c:pt idx="608">
                  <c:v>286.2</c:v>
                </c:pt>
                <c:pt idx="609">
                  <c:v>286.2</c:v>
                </c:pt>
                <c:pt idx="610">
                  <c:v>286.2</c:v>
                </c:pt>
                <c:pt idx="611">
                  <c:v>286.10000000000002</c:v>
                </c:pt>
                <c:pt idx="612">
                  <c:v>286.10000000000002</c:v>
                </c:pt>
                <c:pt idx="613">
                  <c:v>286.10000000000002</c:v>
                </c:pt>
                <c:pt idx="614">
                  <c:v>286</c:v>
                </c:pt>
                <c:pt idx="615">
                  <c:v>285.89999999999998</c:v>
                </c:pt>
                <c:pt idx="616">
                  <c:v>285.89999999999998</c:v>
                </c:pt>
                <c:pt idx="617">
                  <c:v>285.8</c:v>
                </c:pt>
                <c:pt idx="618">
                  <c:v>285.7</c:v>
                </c:pt>
                <c:pt idx="619">
                  <c:v>285.5</c:v>
                </c:pt>
                <c:pt idx="620">
                  <c:v>285.39999999999998</c:v>
                </c:pt>
                <c:pt idx="621">
                  <c:v>285.3</c:v>
                </c:pt>
                <c:pt idx="622">
                  <c:v>285.10000000000002</c:v>
                </c:pt>
                <c:pt idx="623">
                  <c:v>284.89999999999998</c:v>
                </c:pt>
                <c:pt idx="624">
                  <c:v>284.8</c:v>
                </c:pt>
                <c:pt idx="625">
                  <c:v>284.60000000000002</c:v>
                </c:pt>
                <c:pt idx="626">
                  <c:v>284.3</c:v>
                </c:pt>
                <c:pt idx="627">
                  <c:v>284.10000000000002</c:v>
                </c:pt>
                <c:pt idx="628">
                  <c:v>283.8</c:v>
                </c:pt>
                <c:pt idx="629">
                  <c:v>283.5</c:v>
                </c:pt>
                <c:pt idx="630">
                  <c:v>283.2</c:v>
                </c:pt>
                <c:pt idx="631">
                  <c:v>282.8</c:v>
                </c:pt>
                <c:pt idx="632">
                  <c:v>282.39999999999998</c:v>
                </c:pt>
                <c:pt idx="633">
                  <c:v>281.8</c:v>
                </c:pt>
                <c:pt idx="634">
                  <c:v>281.2</c:v>
                </c:pt>
                <c:pt idx="635">
                  <c:v>280.5</c:v>
                </c:pt>
                <c:pt idx="636">
                  <c:v>279.8</c:v>
                </c:pt>
                <c:pt idx="637">
                  <c:v>279.2</c:v>
                </c:pt>
                <c:pt idx="638">
                  <c:v>277.39999999999998</c:v>
                </c:pt>
                <c:pt idx="639">
                  <c:v>275.39999999999998</c:v>
                </c:pt>
                <c:pt idx="640">
                  <c:v>273.3</c:v>
                </c:pt>
                <c:pt idx="641">
                  <c:v>271.39999999999998</c:v>
                </c:pt>
                <c:pt idx="642">
                  <c:v>270.7</c:v>
                </c:pt>
                <c:pt idx="643">
                  <c:v>266.3</c:v>
                </c:pt>
                <c:pt idx="644">
                  <c:v>260.89999999999998</c:v>
                </c:pt>
                <c:pt idx="645">
                  <c:v>255.8</c:v>
                </c:pt>
                <c:pt idx="646">
                  <c:v>251.3</c:v>
                </c:pt>
                <c:pt idx="647">
                  <c:v>248.1</c:v>
                </c:pt>
                <c:pt idx="648">
                  <c:v>244</c:v>
                </c:pt>
                <c:pt idx="649">
                  <c:v>234.4</c:v>
                </c:pt>
                <c:pt idx="650">
                  <c:v>226.4</c:v>
                </c:pt>
                <c:pt idx="651">
                  <c:v>219.5</c:v>
                </c:pt>
                <c:pt idx="652">
                  <c:v>213.8</c:v>
                </c:pt>
                <c:pt idx="653">
                  <c:v>211.6</c:v>
                </c:pt>
                <c:pt idx="654">
                  <c:v>199.7</c:v>
                </c:pt>
                <c:pt idx="655">
                  <c:v>191</c:v>
                </c:pt>
                <c:pt idx="656">
                  <c:v>183.5</c:v>
                </c:pt>
                <c:pt idx="657">
                  <c:v>177.1</c:v>
                </c:pt>
                <c:pt idx="658">
                  <c:v>172.3</c:v>
                </c:pt>
                <c:pt idx="659">
                  <c:v>165.1</c:v>
                </c:pt>
                <c:pt idx="660">
                  <c:v>157.5</c:v>
                </c:pt>
                <c:pt idx="661">
                  <c:v>151.1</c:v>
                </c:pt>
                <c:pt idx="662">
                  <c:v>145.5</c:v>
                </c:pt>
                <c:pt idx="663">
                  <c:v>140.80000000000001</c:v>
                </c:pt>
                <c:pt idx="664">
                  <c:v>136.19999999999999</c:v>
                </c:pt>
                <c:pt idx="665">
                  <c:v>130.5</c:v>
                </c:pt>
                <c:pt idx="666">
                  <c:v>125.7</c:v>
                </c:pt>
                <c:pt idx="667">
                  <c:v>121.4</c:v>
                </c:pt>
                <c:pt idx="668">
                  <c:v>117.7</c:v>
                </c:pt>
                <c:pt idx="669">
                  <c:v>114.6</c:v>
                </c:pt>
                <c:pt idx="670">
                  <c:v>110.5</c:v>
                </c:pt>
                <c:pt idx="671">
                  <c:v>107.1</c:v>
                </c:pt>
                <c:pt idx="672">
                  <c:v>103.9</c:v>
                </c:pt>
                <c:pt idx="673">
                  <c:v>101.1</c:v>
                </c:pt>
                <c:pt idx="674">
                  <c:v>98.6</c:v>
                </c:pt>
                <c:pt idx="675">
                  <c:v>96</c:v>
                </c:pt>
                <c:pt idx="676">
                  <c:v>93.5</c:v>
                </c:pt>
                <c:pt idx="677">
                  <c:v>91.2</c:v>
                </c:pt>
                <c:pt idx="678">
                  <c:v>89.1</c:v>
                </c:pt>
                <c:pt idx="679">
                  <c:v>87.2</c:v>
                </c:pt>
                <c:pt idx="680">
                  <c:v>85.3</c:v>
                </c:pt>
                <c:pt idx="681">
                  <c:v>83.5</c:v>
                </c:pt>
                <c:pt idx="682">
                  <c:v>81.8</c:v>
                </c:pt>
                <c:pt idx="683">
                  <c:v>80.099999999999994</c:v>
                </c:pt>
                <c:pt idx="684">
                  <c:v>78.599999999999994</c:v>
                </c:pt>
                <c:pt idx="685">
                  <c:v>77.2</c:v>
                </c:pt>
                <c:pt idx="686">
                  <c:v>75.8</c:v>
                </c:pt>
                <c:pt idx="687">
                  <c:v>74.5</c:v>
                </c:pt>
                <c:pt idx="688">
                  <c:v>73.3</c:v>
                </c:pt>
                <c:pt idx="689">
                  <c:v>72.099999999999994</c:v>
                </c:pt>
                <c:pt idx="690">
                  <c:v>70.900000000000006</c:v>
                </c:pt>
                <c:pt idx="691">
                  <c:v>69.8</c:v>
                </c:pt>
                <c:pt idx="692">
                  <c:v>68.8</c:v>
                </c:pt>
                <c:pt idx="693">
                  <c:v>67.8</c:v>
                </c:pt>
                <c:pt idx="694">
                  <c:v>66.8</c:v>
                </c:pt>
                <c:pt idx="695">
                  <c:v>65.900000000000006</c:v>
                </c:pt>
                <c:pt idx="696">
                  <c:v>65</c:v>
                </c:pt>
                <c:pt idx="697">
                  <c:v>64.099999999999994</c:v>
                </c:pt>
                <c:pt idx="698">
                  <c:v>63.3</c:v>
                </c:pt>
                <c:pt idx="699">
                  <c:v>62.5</c:v>
                </c:pt>
                <c:pt idx="700">
                  <c:v>61.7</c:v>
                </c:pt>
                <c:pt idx="701">
                  <c:v>60.9</c:v>
                </c:pt>
                <c:pt idx="702">
                  <c:v>60.2</c:v>
                </c:pt>
                <c:pt idx="703">
                  <c:v>59.5</c:v>
                </c:pt>
                <c:pt idx="704">
                  <c:v>58.8</c:v>
                </c:pt>
                <c:pt idx="705">
                  <c:v>58.2</c:v>
                </c:pt>
                <c:pt idx="706">
                  <c:v>57.5</c:v>
                </c:pt>
                <c:pt idx="707">
                  <c:v>56.9</c:v>
                </c:pt>
                <c:pt idx="708">
                  <c:v>56.3</c:v>
                </c:pt>
                <c:pt idx="709">
                  <c:v>55.7</c:v>
                </c:pt>
                <c:pt idx="710">
                  <c:v>55.1</c:v>
                </c:pt>
                <c:pt idx="711">
                  <c:v>54.6</c:v>
                </c:pt>
                <c:pt idx="712">
                  <c:v>54.1</c:v>
                </c:pt>
                <c:pt idx="713">
                  <c:v>53.5</c:v>
                </c:pt>
                <c:pt idx="714">
                  <c:v>53</c:v>
                </c:pt>
                <c:pt idx="715">
                  <c:v>52.6</c:v>
                </c:pt>
                <c:pt idx="716">
                  <c:v>52.1</c:v>
                </c:pt>
                <c:pt idx="717">
                  <c:v>51.6</c:v>
                </c:pt>
                <c:pt idx="718">
                  <c:v>51.2</c:v>
                </c:pt>
                <c:pt idx="719">
                  <c:v>50.7</c:v>
                </c:pt>
                <c:pt idx="720">
                  <c:v>50.3</c:v>
                </c:pt>
                <c:pt idx="721">
                  <c:v>49.9</c:v>
                </c:pt>
                <c:pt idx="722">
                  <c:v>49.5</c:v>
                </c:pt>
                <c:pt idx="723">
                  <c:v>49.1</c:v>
                </c:pt>
                <c:pt idx="724">
                  <c:v>48.7</c:v>
                </c:pt>
                <c:pt idx="725">
                  <c:v>48.4</c:v>
                </c:pt>
                <c:pt idx="726">
                  <c:v>48</c:v>
                </c:pt>
                <c:pt idx="727">
                  <c:v>47.7</c:v>
                </c:pt>
                <c:pt idx="728">
                  <c:v>47.3</c:v>
                </c:pt>
                <c:pt idx="729">
                  <c:v>47</c:v>
                </c:pt>
                <c:pt idx="730">
                  <c:v>46.7</c:v>
                </c:pt>
                <c:pt idx="731">
                  <c:v>46.4</c:v>
                </c:pt>
                <c:pt idx="732">
                  <c:v>46.1</c:v>
                </c:pt>
                <c:pt idx="733">
                  <c:v>45.8</c:v>
                </c:pt>
                <c:pt idx="734">
                  <c:v>45.5</c:v>
                </c:pt>
                <c:pt idx="735">
                  <c:v>45.2</c:v>
                </c:pt>
                <c:pt idx="736">
                  <c:v>44.9</c:v>
                </c:pt>
                <c:pt idx="737">
                  <c:v>44.6</c:v>
                </c:pt>
                <c:pt idx="738">
                  <c:v>44.4</c:v>
                </c:pt>
                <c:pt idx="739">
                  <c:v>44.1</c:v>
                </c:pt>
                <c:pt idx="740">
                  <c:v>43.9</c:v>
                </c:pt>
                <c:pt idx="741">
                  <c:v>43.6</c:v>
                </c:pt>
                <c:pt idx="742">
                  <c:v>43.4</c:v>
                </c:pt>
                <c:pt idx="743">
                  <c:v>43.2</c:v>
                </c:pt>
                <c:pt idx="744">
                  <c:v>43</c:v>
                </c:pt>
                <c:pt idx="745">
                  <c:v>42.7</c:v>
                </c:pt>
                <c:pt idx="746">
                  <c:v>42.5</c:v>
                </c:pt>
                <c:pt idx="747">
                  <c:v>42.3</c:v>
                </c:pt>
                <c:pt idx="748">
                  <c:v>42.1</c:v>
                </c:pt>
                <c:pt idx="749">
                  <c:v>41.9</c:v>
                </c:pt>
                <c:pt idx="750">
                  <c:v>41.7</c:v>
                </c:pt>
                <c:pt idx="751">
                  <c:v>41.5</c:v>
                </c:pt>
                <c:pt idx="752">
                  <c:v>41.3</c:v>
                </c:pt>
                <c:pt idx="753">
                  <c:v>41.2</c:v>
                </c:pt>
                <c:pt idx="754">
                  <c:v>41</c:v>
                </c:pt>
                <c:pt idx="755">
                  <c:v>40.799999999999997</c:v>
                </c:pt>
                <c:pt idx="756">
                  <c:v>40.700000000000003</c:v>
                </c:pt>
                <c:pt idx="757">
                  <c:v>40.5</c:v>
                </c:pt>
                <c:pt idx="758">
                  <c:v>40.299999999999997</c:v>
                </c:pt>
                <c:pt idx="759">
                  <c:v>40.200000000000003</c:v>
                </c:pt>
                <c:pt idx="760">
                  <c:v>40</c:v>
                </c:pt>
                <c:pt idx="761">
                  <c:v>39.9</c:v>
                </c:pt>
                <c:pt idx="762">
                  <c:v>39.700000000000003</c:v>
                </c:pt>
                <c:pt idx="763">
                  <c:v>39.6</c:v>
                </c:pt>
                <c:pt idx="764">
                  <c:v>39.5</c:v>
                </c:pt>
                <c:pt idx="765">
                  <c:v>39.299999999999997</c:v>
                </c:pt>
                <c:pt idx="766">
                  <c:v>39.200000000000003</c:v>
                </c:pt>
                <c:pt idx="767">
                  <c:v>39.1</c:v>
                </c:pt>
                <c:pt idx="768">
                  <c:v>38.9</c:v>
                </c:pt>
                <c:pt idx="769">
                  <c:v>38.799999999999997</c:v>
                </c:pt>
                <c:pt idx="770">
                  <c:v>38.700000000000003</c:v>
                </c:pt>
                <c:pt idx="771">
                  <c:v>38.6</c:v>
                </c:pt>
                <c:pt idx="772">
                  <c:v>38.5</c:v>
                </c:pt>
                <c:pt idx="773">
                  <c:v>38.4</c:v>
                </c:pt>
                <c:pt idx="774">
                  <c:v>38.299999999999997</c:v>
                </c:pt>
                <c:pt idx="775">
                  <c:v>38.200000000000003</c:v>
                </c:pt>
                <c:pt idx="776">
                  <c:v>38.1</c:v>
                </c:pt>
                <c:pt idx="777">
                  <c:v>38</c:v>
                </c:pt>
                <c:pt idx="778">
                  <c:v>37.9</c:v>
                </c:pt>
                <c:pt idx="779">
                  <c:v>37.799999999999997</c:v>
                </c:pt>
                <c:pt idx="780">
                  <c:v>37.700000000000003</c:v>
                </c:pt>
                <c:pt idx="781">
                  <c:v>37.6</c:v>
                </c:pt>
                <c:pt idx="782">
                  <c:v>37.5</c:v>
                </c:pt>
                <c:pt idx="783">
                  <c:v>37.4</c:v>
                </c:pt>
                <c:pt idx="784">
                  <c:v>37.299999999999997</c:v>
                </c:pt>
                <c:pt idx="785">
                  <c:v>37.299999999999997</c:v>
                </c:pt>
                <c:pt idx="786">
                  <c:v>37.200000000000003</c:v>
                </c:pt>
                <c:pt idx="787">
                  <c:v>37.1</c:v>
                </c:pt>
                <c:pt idx="788">
                  <c:v>37</c:v>
                </c:pt>
                <c:pt idx="789">
                  <c:v>37</c:v>
                </c:pt>
                <c:pt idx="790">
                  <c:v>36.9</c:v>
                </c:pt>
                <c:pt idx="791">
                  <c:v>36.799999999999997</c:v>
                </c:pt>
                <c:pt idx="792">
                  <c:v>36.700000000000003</c:v>
                </c:pt>
                <c:pt idx="793">
                  <c:v>36.700000000000003</c:v>
                </c:pt>
                <c:pt idx="794">
                  <c:v>36.6</c:v>
                </c:pt>
                <c:pt idx="795">
                  <c:v>36.6</c:v>
                </c:pt>
                <c:pt idx="796">
                  <c:v>36.5</c:v>
                </c:pt>
                <c:pt idx="797">
                  <c:v>36.4</c:v>
                </c:pt>
                <c:pt idx="798">
                  <c:v>36.4</c:v>
                </c:pt>
                <c:pt idx="799">
                  <c:v>36.299999999999997</c:v>
                </c:pt>
                <c:pt idx="800">
                  <c:v>36.299999999999997</c:v>
                </c:pt>
                <c:pt idx="801">
                  <c:v>36.200000000000003</c:v>
                </c:pt>
                <c:pt idx="802">
                  <c:v>36.200000000000003</c:v>
                </c:pt>
                <c:pt idx="803">
                  <c:v>36.1</c:v>
                </c:pt>
                <c:pt idx="804">
                  <c:v>36.1</c:v>
                </c:pt>
                <c:pt idx="805">
                  <c:v>36</c:v>
                </c:pt>
                <c:pt idx="806">
                  <c:v>36</c:v>
                </c:pt>
                <c:pt idx="807">
                  <c:v>36</c:v>
                </c:pt>
                <c:pt idx="808">
                  <c:v>35.9</c:v>
                </c:pt>
                <c:pt idx="809">
                  <c:v>35.9</c:v>
                </c:pt>
                <c:pt idx="810">
                  <c:v>35.799999999999997</c:v>
                </c:pt>
                <c:pt idx="811">
                  <c:v>35.799999999999997</c:v>
                </c:pt>
                <c:pt idx="812">
                  <c:v>35.799999999999997</c:v>
                </c:pt>
                <c:pt idx="813">
                  <c:v>35.700000000000003</c:v>
                </c:pt>
                <c:pt idx="814">
                  <c:v>35.700000000000003</c:v>
                </c:pt>
                <c:pt idx="815">
                  <c:v>35.700000000000003</c:v>
                </c:pt>
                <c:pt idx="816">
                  <c:v>35.6</c:v>
                </c:pt>
                <c:pt idx="817">
                  <c:v>35.6</c:v>
                </c:pt>
                <c:pt idx="818">
                  <c:v>35.6</c:v>
                </c:pt>
                <c:pt idx="819">
                  <c:v>35.5</c:v>
                </c:pt>
                <c:pt idx="820">
                  <c:v>35.5</c:v>
                </c:pt>
                <c:pt idx="821">
                  <c:v>35.5</c:v>
                </c:pt>
                <c:pt idx="822">
                  <c:v>35.5</c:v>
                </c:pt>
                <c:pt idx="823">
                  <c:v>35.4</c:v>
                </c:pt>
                <c:pt idx="824">
                  <c:v>35.4</c:v>
                </c:pt>
                <c:pt idx="825">
                  <c:v>35.4</c:v>
                </c:pt>
                <c:pt idx="826">
                  <c:v>35.4</c:v>
                </c:pt>
                <c:pt idx="827">
                  <c:v>35.4</c:v>
                </c:pt>
                <c:pt idx="828">
                  <c:v>35.299999999999997</c:v>
                </c:pt>
                <c:pt idx="829">
                  <c:v>35.299999999999997</c:v>
                </c:pt>
                <c:pt idx="830">
                  <c:v>35.299999999999997</c:v>
                </c:pt>
                <c:pt idx="831">
                  <c:v>35.299999999999997</c:v>
                </c:pt>
                <c:pt idx="832">
                  <c:v>35.299999999999997</c:v>
                </c:pt>
                <c:pt idx="833">
                  <c:v>35.299999999999997</c:v>
                </c:pt>
                <c:pt idx="834">
                  <c:v>35.299999999999997</c:v>
                </c:pt>
                <c:pt idx="835">
                  <c:v>35.299999999999997</c:v>
                </c:pt>
                <c:pt idx="836">
                  <c:v>35.200000000000003</c:v>
                </c:pt>
                <c:pt idx="837">
                  <c:v>35.200000000000003</c:v>
                </c:pt>
                <c:pt idx="838">
                  <c:v>35.200000000000003</c:v>
                </c:pt>
                <c:pt idx="839">
                  <c:v>35.200000000000003</c:v>
                </c:pt>
                <c:pt idx="840">
                  <c:v>35.200000000000003</c:v>
                </c:pt>
                <c:pt idx="841">
                  <c:v>35.200000000000003</c:v>
                </c:pt>
                <c:pt idx="842">
                  <c:v>35.200000000000003</c:v>
                </c:pt>
                <c:pt idx="843">
                  <c:v>35.200000000000003</c:v>
                </c:pt>
                <c:pt idx="844">
                  <c:v>35.200000000000003</c:v>
                </c:pt>
                <c:pt idx="845">
                  <c:v>35.200000000000003</c:v>
                </c:pt>
                <c:pt idx="846">
                  <c:v>35.200000000000003</c:v>
                </c:pt>
                <c:pt idx="847">
                  <c:v>35.200000000000003</c:v>
                </c:pt>
                <c:pt idx="848">
                  <c:v>35.200000000000003</c:v>
                </c:pt>
                <c:pt idx="849">
                  <c:v>35.200000000000003</c:v>
                </c:pt>
                <c:pt idx="850">
                  <c:v>35.200000000000003</c:v>
                </c:pt>
                <c:pt idx="851">
                  <c:v>35.200000000000003</c:v>
                </c:pt>
                <c:pt idx="852">
                  <c:v>35.200000000000003</c:v>
                </c:pt>
                <c:pt idx="853">
                  <c:v>35.200000000000003</c:v>
                </c:pt>
                <c:pt idx="854">
                  <c:v>35.200000000000003</c:v>
                </c:pt>
                <c:pt idx="855">
                  <c:v>35.200000000000003</c:v>
                </c:pt>
                <c:pt idx="856">
                  <c:v>35.200000000000003</c:v>
                </c:pt>
                <c:pt idx="857">
                  <c:v>35.200000000000003</c:v>
                </c:pt>
                <c:pt idx="858">
                  <c:v>35.200000000000003</c:v>
                </c:pt>
                <c:pt idx="859">
                  <c:v>35.200000000000003</c:v>
                </c:pt>
                <c:pt idx="860">
                  <c:v>35.200000000000003</c:v>
                </c:pt>
                <c:pt idx="861">
                  <c:v>35.200000000000003</c:v>
                </c:pt>
                <c:pt idx="862">
                  <c:v>35.299999999999997</c:v>
                </c:pt>
                <c:pt idx="863">
                  <c:v>35.299999999999997</c:v>
                </c:pt>
                <c:pt idx="864">
                  <c:v>35.299999999999997</c:v>
                </c:pt>
                <c:pt idx="865">
                  <c:v>35.299999999999997</c:v>
                </c:pt>
                <c:pt idx="866">
                  <c:v>35.299999999999997</c:v>
                </c:pt>
                <c:pt idx="867">
                  <c:v>35.299999999999997</c:v>
                </c:pt>
                <c:pt idx="868">
                  <c:v>35.299999999999997</c:v>
                </c:pt>
                <c:pt idx="869">
                  <c:v>35.299999999999997</c:v>
                </c:pt>
                <c:pt idx="870">
                  <c:v>35.299999999999997</c:v>
                </c:pt>
                <c:pt idx="871">
                  <c:v>35.4</c:v>
                </c:pt>
                <c:pt idx="872">
                  <c:v>35.4</c:v>
                </c:pt>
                <c:pt idx="873">
                  <c:v>35.4</c:v>
                </c:pt>
                <c:pt idx="874">
                  <c:v>35.4</c:v>
                </c:pt>
                <c:pt idx="875">
                  <c:v>35.4</c:v>
                </c:pt>
                <c:pt idx="876">
                  <c:v>35.4</c:v>
                </c:pt>
                <c:pt idx="877">
                  <c:v>35.5</c:v>
                </c:pt>
                <c:pt idx="878">
                  <c:v>35.5</c:v>
                </c:pt>
                <c:pt idx="879">
                  <c:v>35.5</c:v>
                </c:pt>
                <c:pt idx="880">
                  <c:v>35.5</c:v>
                </c:pt>
                <c:pt idx="881">
                  <c:v>35.5</c:v>
                </c:pt>
                <c:pt idx="882">
                  <c:v>35.6</c:v>
                </c:pt>
                <c:pt idx="883">
                  <c:v>35.6</c:v>
                </c:pt>
                <c:pt idx="884">
                  <c:v>35.6</c:v>
                </c:pt>
                <c:pt idx="885">
                  <c:v>35.6</c:v>
                </c:pt>
                <c:pt idx="886">
                  <c:v>35.6</c:v>
                </c:pt>
                <c:pt idx="887">
                  <c:v>35.700000000000003</c:v>
                </c:pt>
                <c:pt idx="888">
                  <c:v>35.700000000000003</c:v>
                </c:pt>
                <c:pt idx="889">
                  <c:v>35.700000000000003</c:v>
                </c:pt>
                <c:pt idx="890">
                  <c:v>35.700000000000003</c:v>
                </c:pt>
                <c:pt idx="891">
                  <c:v>35.799999999999997</c:v>
                </c:pt>
                <c:pt idx="892">
                  <c:v>35.799999999999997</c:v>
                </c:pt>
                <c:pt idx="893">
                  <c:v>35.799999999999997</c:v>
                </c:pt>
                <c:pt idx="894">
                  <c:v>35.799999999999997</c:v>
                </c:pt>
                <c:pt idx="895">
                  <c:v>35.9</c:v>
                </c:pt>
                <c:pt idx="896">
                  <c:v>35.9</c:v>
                </c:pt>
                <c:pt idx="897">
                  <c:v>35.9</c:v>
                </c:pt>
                <c:pt idx="898">
                  <c:v>36</c:v>
                </c:pt>
                <c:pt idx="899">
                  <c:v>36</c:v>
                </c:pt>
                <c:pt idx="900">
                  <c:v>36</c:v>
                </c:pt>
                <c:pt idx="901">
                  <c:v>36</c:v>
                </c:pt>
                <c:pt idx="902">
                  <c:v>36.1</c:v>
                </c:pt>
                <c:pt idx="903">
                  <c:v>36.1</c:v>
                </c:pt>
                <c:pt idx="904">
                  <c:v>36.1</c:v>
                </c:pt>
                <c:pt idx="905">
                  <c:v>36.200000000000003</c:v>
                </c:pt>
                <c:pt idx="906">
                  <c:v>36.200000000000003</c:v>
                </c:pt>
                <c:pt idx="907">
                  <c:v>36.200000000000003</c:v>
                </c:pt>
                <c:pt idx="908">
                  <c:v>36.299999999999997</c:v>
                </c:pt>
                <c:pt idx="909">
                  <c:v>36.299999999999997</c:v>
                </c:pt>
                <c:pt idx="910">
                  <c:v>36.299999999999997</c:v>
                </c:pt>
                <c:pt idx="911">
                  <c:v>36.4</c:v>
                </c:pt>
                <c:pt idx="912">
                  <c:v>36.4</c:v>
                </c:pt>
                <c:pt idx="913">
                  <c:v>36.4</c:v>
                </c:pt>
                <c:pt idx="914">
                  <c:v>36.5</c:v>
                </c:pt>
                <c:pt idx="915">
                  <c:v>36.5</c:v>
                </c:pt>
                <c:pt idx="916">
                  <c:v>36.5</c:v>
                </c:pt>
                <c:pt idx="917">
                  <c:v>36.6</c:v>
                </c:pt>
                <c:pt idx="918">
                  <c:v>36.6</c:v>
                </c:pt>
                <c:pt idx="919">
                  <c:v>36.6</c:v>
                </c:pt>
                <c:pt idx="920">
                  <c:v>36.700000000000003</c:v>
                </c:pt>
                <c:pt idx="921">
                  <c:v>36.700000000000003</c:v>
                </c:pt>
                <c:pt idx="922">
                  <c:v>36.799999999999997</c:v>
                </c:pt>
                <c:pt idx="923">
                  <c:v>36.799999999999997</c:v>
                </c:pt>
                <c:pt idx="924">
                  <c:v>36.799999999999997</c:v>
                </c:pt>
                <c:pt idx="925">
                  <c:v>36.9</c:v>
                </c:pt>
                <c:pt idx="926">
                  <c:v>36.9</c:v>
                </c:pt>
                <c:pt idx="927">
                  <c:v>37</c:v>
                </c:pt>
                <c:pt idx="928">
                  <c:v>37</c:v>
                </c:pt>
                <c:pt idx="929">
                  <c:v>37</c:v>
                </c:pt>
                <c:pt idx="930">
                  <c:v>37.1</c:v>
                </c:pt>
                <c:pt idx="931">
                  <c:v>37.1</c:v>
                </c:pt>
                <c:pt idx="932">
                  <c:v>37.200000000000003</c:v>
                </c:pt>
                <c:pt idx="933">
                  <c:v>37.200000000000003</c:v>
                </c:pt>
                <c:pt idx="934">
                  <c:v>37.200000000000003</c:v>
                </c:pt>
                <c:pt idx="935">
                  <c:v>37.299999999999997</c:v>
                </c:pt>
                <c:pt idx="936">
                  <c:v>37.299999999999997</c:v>
                </c:pt>
                <c:pt idx="937">
                  <c:v>37.4</c:v>
                </c:pt>
                <c:pt idx="938">
                  <c:v>37.4</c:v>
                </c:pt>
                <c:pt idx="939">
                  <c:v>37.5</c:v>
                </c:pt>
                <c:pt idx="940">
                  <c:v>37.5</c:v>
                </c:pt>
                <c:pt idx="941">
                  <c:v>37.6</c:v>
                </c:pt>
                <c:pt idx="942">
                  <c:v>37.6</c:v>
                </c:pt>
                <c:pt idx="943">
                  <c:v>37.700000000000003</c:v>
                </c:pt>
                <c:pt idx="944">
                  <c:v>37.700000000000003</c:v>
                </c:pt>
                <c:pt idx="945">
                  <c:v>37.700000000000003</c:v>
                </c:pt>
                <c:pt idx="946">
                  <c:v>37.799999999999997</c:v>
                </c:pt>
                <c:pt idx="947">
                  <c:v>37.799999999999997</c:v>
                </c:pt>
                <c:pt idx="948">
                  <c:v>37.9</c:v>
                </c:pt>
                <c:pt idx="949">
                  <c:v>37.9</c:v>
                </c:pt>
                <c:pt idx="950">
                  <c:v>38</c:v>
                </c:pt>
                <c:pt idx="951">
                  <c:v>38</c:v>
                </c:pt>
                <c:pt idx="952">
                  <c:v>38.1</c:v>
                </c:pt>
                <c:pt idx="953">
                  <c:v>38.1</c:v>
                </c:pt>
                <c:pt idx="954">
                  <c:v>38.200000000000003</c:v>
                </c:pt>
                <c:pt idx="955">
                  <c:v>38.200000000000003</c:v>
                </c:pt>
                <c:pt idx="956">
                  <c:v>38.299999999999997</c:v>
                </c:pt>
                <c:pt idx="957">
                  <c:v>38.299999999999997</c:v>
                </c:pt>
                <c:pt idx="958">
                  <c:v>38.4</c:v>
                </c:pt>
                <c:pt idx="959">
                  <c:v>38.5</c:v>
                </c:pt>
                <c:pt idx="960">
                  <c:v>38.5</c:v>
                </c:pt>
                <c:pt idx="961">
                  <c:v>38.6</c:v>
                </c:pt>
                <c:pt idx="962">
                  <c:v>38.6</c:v>
                </c:pt>
                <c:pt idx="963">
                  <c:v>38.700000000000003</c:v>
                </c:pt>
                <c:pt idx="964">
                  <c:v>38.700000000000003</c:v>
                </c:pt>
                <c:pt idx="965">
                  <c:v>38.799999999999997</c:v>
                </c:pt>
                <c:pt idx="966">
                  <c:v>38.799999999999997</c:v>
                </c:pt>
                <c:pt idx="967">
                  <c:v>38.9</c:v>
                </c:pt>
                <c:pt idx="968">
                  <c:v>38.9</c:v>
                </c:pt>
                <c:pt idx="969">
                  <c:v>39</c:v>
                </c:pt>
                <c:pt idx="970">
                  <c:v>39.1</c:v>
                </c:pt>
                <c:pt idx="971">
                  <c:v>39.1</c:v>
                </c:pt>
                <c:pt idx="972">
                  <c:v>39.200000000000003</c:v>
                </c:pt>
                <c:pt idx="973">
                  <c:v>39.200000000000003</c:v>
                </c:pt>
                <c:pt idx="974">
                  <c:v>39.299999999999997</c:v>
                </c:pt>
                <c:pt idx="975">
                  <c:v>39.4</c:v>
                </c:pt>
                <c:pt idx="976">
                  <c:v>39.4</c:v>
                </c:pt>
                <c:pt idx="977">
                  <c:v>39.5</c:v>
                </c:pt>
                <c:pt idx="978">
                  <c:v>39.5</c:v>
                </c:pt>
                <c:pt idx="979">
                  <c:v>39.6</c:v>
                </c:pt>
                <c:pt idx="980">
                  <c:v>39.700000000000003</c:v>
                </c:pt>
                <c:pt idx="981">
                  <c:v>39.700000000000003</c:v>
                </c:pt>
                <c:pt idx="982">
                  <c:v>39.799999999999997</c:v>
                </c:pt>
                <c:pt idx="983">
                  <c:v>39.9</c:v>
                </c:pt>
                <c:pt idx="984">
                  <c:v>39.9</c:v>
                </c:pt>
                <c:pt idx="985">
                  <c:v>40</c:v>
                </c:pt>
                <c:pt idx="986">
                  <c:v>40</c:v>
                </c:pt>
                <c:pt idx="987">
                  <c:v>40.1</c:v>
                </c:pt>
                <c:pt idx="988">
                  <c:v>40.200000000000003</c:v>
                </c:pt>
                <c:pt idx="989">
                  <c:v>40.200000000000003</c:v>
                </c:pt>
                <c:pt idx="990">
                  <c:v>40.299999999999997</c:v>
                </c:pt>
                <c:pt idx="991">
                  <c:v>40.4</c:v>
                </c:pt>
                <c:pt idx="992">
                  <c:v>40.4</c:v>
                </c:pt>
                <c:pt idx="993">
                  <c:v>40.5</c:v>
                </c:pt>
                <c:pt idx="994">
                  <c:v>40.6</c:v>
                </c:pt>
                <c:pt idx="995">
                  <c:v>40.700000000000003</c:v>
                </c:pt>
                <c:pt idx="996">
                  <c:v>40.700000000000003</c:v>
                </c:pt>
                <c:pt idx="997">
                  <c:v>40.799999999999997</c:v>
                </c:pt>
                <c:pt idx="998">
                  <c:v>40.9</c:v>
                </c:pt>
                <c:pt idx="999">
                  <c:v>40.9</c:v>
                </c:pt>
                <c:pt idx="1000">
                  <c:v>41</c:v>
                </c:pt>
                <c:pt idx="1001">
                  <c:v>41.1</c:v>
                </c:pt>
                <c:pt idx="1002">
                  <c:v>41.2</c:v>
                </c:pt>
                <c:pt idx="1003">
                  <c:v>41.2</c:v>
                </c:pt>
                <c:pt idx="1004">
                  <c:v>41.3</c:v>
                </c:pt>
                <c:pt idx="1005">
                  <c:v>41.4</c:v>
                </c:pt>
                <c:pt idx="1006">
                  <c:v>41.5</c:v>
                </c:pt>
                <c:pt idx="1007">
                  <c:v>41.5</c:v>
                </c:pt>
                <c:pt idx="1008">
                  <c:v>41.6</c:v>
                </c:pt>
                <c:pt idx="1009">
                  <c:v>41.7</c:v>
                </c:pt>
                <c:pt idx="1010">
                  <c:v>41.8</c:v>
                </c:pt>
                <c:pt idx="1011">
                  <c:v>41.9</c:v>
                </c:pt>
                <c:pt idx="1012">
                  <c:v>41.9</c:v>
                </c:pt>
                <c:pt idx="1013">
                  <c:v>42</c:v>
                </c:pt>
                <c:pt idx="1014">
                  <c:v>42.1</c:v>
                </c:pt>
                <c:pt idx="1015">
                  <c:v>42.2</c:v>
                </c:pt>
                <c:pt idx="1016">
                  <c:v>42.3</c:v>
                </c:pt>
                <c:pt idx="1017">
                  <c:v>42.3</c:v>
                </c:pt>
                <c:pt idx="1018">
                  <c:v>42.4</c:v>
                </c:pt>
                <c:pt idx="1019">
                  <c:v>42.5</c:v>
                </c:pt>
                <c:pt idx="1020">
                  <c:v>42.6</c:v>
                </c:pt>
                <c:pt idx="1021">
                  <c:v>42.7</c:v>
                </c:pt>
                <c:pt idx="1022">
                  <c:v>42.8</c:v>
                </c:pt>
                <c:pt idx="1023">
                  <c:v>42.9</c:v>
                </c:pt>
                <c:pt idx="1024">
                  <c:v>43</c:v>
                </c:pt>
                <c:pt idx="1025">
                  <c:v>43</c:v>
                </c:pt>
                <c:pt idx="1026">
                  <c:v>43.1</c:v>
                </c:pt>
                <c:pt idx="1027">
                  <c:v>43.2</c:v>
                </c:pt>
                <c:pt idx="1028">
                  <c:v>43.3</c:v>
                </c:pt>
                <c:pt idx="1029">
                  <c:v>43.4</c:v>
                </c:pt>
                <c:pt idx="1030">
                  <c:v>43.5</c:v>
                </c:pt>
                <c:pt idx="1031">
                  <c:v>43.6</c:v>
                </c:pt>
                <c:pt idx="1032">
                  <c:v>43.7</c:v>
                </c:pt>
                <c:pt idx="1033">
                  <c:v>43.8</c:v>
                </c:pt>
                <c:pt idx="1034">
                  <c:v>43.9</c:v>
                </c:pt>
                <c:pt idx="1035">
                  <c:v>44</c:v>
                </c:pt>
                <c:pt idx="1036">
                  <c:v>44.1</c:v>
                </c:pt>
                <c:pt idx="1037">
                  <c:v>44.2</c:v>
                </c:pt>
                <c:pt idx="1038">
                  <c:v>44.3</c:v>
                </c:pt>
                <c:pt idx="1039">
                  <c:v>44.4</c:v>
                </c:pt>
                <c:pt idx="1040">
                  <c:v>44.5</c:v>
                </c:pt>
                <c:pt idx="1041">
                  <c:v>44.6</c:v>
                </c:pt>
                <c:pt idx="1042">
                  <c:v>44.8</c:v>
                </c:pt>
                <c:pt idx="1043">
                  <c:v>44.9</c:v>
                </c:pt>
                <c:pt idx="1044">
                  <c:v>45</c:v>
                </c:pt>
                <c:pt idx="1045">
                  <c:v>45.1</c:v>
                </c:pt>
                <c:pt idx="1046">
                  <c:v>45.2</c:v>
                </c:pt>
                <c:pt idx="1047">
                  <c:v>45.3</c:v>
                </c:pt>
                <c:pt idx="1048">
                  <c:v>45.4</c:v>
                </c:pt>
                <c:pt idx="1049">
                  <c:v>45.6</c:v>
                </c:pt>
                <c:pt idx="1050">
                  <c:v>45.7</c:v>
                </c:pt>
                <c:pt idx="1051">
                  <c:v>45.8</c:v>
                </c:pt>
                <c:pt idx="1052">
                  <c:v>45.9</c:v>
                </c:pt>
                <c:pt idx="1053">
                  <c:v>46.1</c:v>
                </c:pt>
                <c:pt idx="1054">
                  <c:v>46.2</c:v>
                </c:pt>
                <c:pt idx="1055">
                  <c:v>46.3</c:v>
                </c:pt>
                <c:pt idx="1056">
                  <c:v>46.5</c:v>
                </c:pt>
                <c:pt idx="1057">
                  <c:v>46.6</c:v>
                </c:pt>
                <c:pt idx="1058">
                  <c:v>46.7</c:v>
                </c:pt>
                <c:pt idx="1059">
                  <c:v>46.9</c:v>
                </c:pt>
                <c:pt idx="1060">
                  <c:v>47</c:v>
                </c:pt>
                <c:pt idx="1061">
                  <c:v>47.2</c:v>
                </c:pt>
                <c:pt idx="1062">
                  <c:v>47.3</c:v>
                </c:pt>
                <c:pt idx="1063">
                  <c:v>47.5</c:v>
                </c:pt>
                <c:pt idx="1064">
                  <c:v>47.6</c:v>
                </c:pt>
                <c:pt idx="1065">
                  <c:v>47.8</c:v>
                </c:pt>
                <c:pt idx="1066">
                  <c:v>47.9</c:v>
                </c:pt>
                <c:pt idx="1067">
                  <c:v>48.1</c:v>
                </c:pt>
                <c:pt idx="1068">
                  <c:v>48.2</c:v>
                </c:pt>
                <c:pt idx="1069">
                  <c:v>48.4</c:v>
                </c:pt>
                <c:pt idx="1070">
                  <c:v>48.6</c:v>
                </c:pt>
                <c:pt idx="1071">
                  <c:v>48.7</c:v>
                </c:pt>
                <c:pt idx="1072">
                  <c:v>48.9</c:v>
                </c:pt>
                <c:pt idx="1073">
                  <c:v>49.1</c:v>
                </c:pt>
                <c:pt idx="1074">
                  <c:v>49.3</c:v>
                </c:pt>
                <c:pt idx="1075">
                  <c:v>49.5</c:v>
                </c:pt>
                <c:pt idx="1076">
                  <c:v>49.7</c:v>
                </c:pt>
                <c:pt idx="1077">
                  <c:v>49.8</c:v>
                </c:pt>
                <c:pt idx="1078">
                  <c:v>50</c:v>
                </c:pt>
                <c:pt idx="1079">
                  <c:v>50.2</c:v>
                </c:pt>
                <c:pt idx="1080">
                  <c:v>50.5</c:v>
                </c:pt>
                <c:pt idx="1081">
                  <c:v>50.7</c:v>
                </c:pt>
                <c:pt idx="1082">
                  <c:v>50.9</c:v>
                </c:pt>
                <c:pt idx="1083">
                  <c:v>51.1</c:v>
                </c:pt>
                <c:pt idx="1084">
                  <c:v>51.3</c:v>
                </c:pt>
                <c:pt idx="1085">
                  <c:v>51.6</c:v>
                </c:pt>
                <c:pt idx="1086">
                  <c:v>51.8</c:v>
                </c:pt>
                <c:pt idx="1087">
                  <c:v>52</c:v>
                </c:pt>
                <c:pt idx="1088">
                  <c:v>52.3</c:v>
                </c:pt>
                <c:pt idx="1089">
                  <c:v>52.5</c:v>
                </c:pt>
                <c:pt idx="1090">
                  <c:v>52.8</c:v>
                </c:pt>
                <c:pt idx="1091">
                  <c:v>53.1</c:v>
                </c:pt>
                <c:pt idx="1092">
                  <c:v>53.3</c:v>
                </c:pt>
                <c:pt idx="1093">
                  <c:v>53.6</c:v>
                </c:pt>
                <c:pt idx="1094">
                  <c:v>53.9</c:v>
                </c:pt>
                <c:pt idx="1095">
                  <c:v>54.2</c:v>
                </c:pt>
                <c:pt idx="1096">
                  <c:v>54.5</c:v>
                </c:pt>
                <c:pt idx="1097">
                  <c:v>54.8</c:v>
                </c:pt>
                <c:pt idx="1098">
                  <c:v>55.2</c:v>
                </c:pt>
                <c:pt idx="1099">
                  <c:v>55.5</c:v>
                </c:pt>
                <c:pt idx="1100">
                  <c:v>55.8</c:v>
                </c:pt>
                <c:pt idx="1101">
                  <c:v>56.2</c:v>
                </c:pt>
                <c:pt idx="1102">
                  <c:v>56.6</c:v>
                </c:pt>
                <c:pt idx="1103">
                  <c:v>56.9</c:v>
                </c:pt>
                <c:pt idx="1104">
                  <c:v>57.3</c:v>
                </c:pt>
                <c:pt idx="1105">
                  <c:v>57.7</c:v>
                </c:pt>
                <c:pt idx="1106">
                  <c:v>58.2</c:v>
                </c:pt>
                <c:pt idx="1107">
                  <c:v>58.6</c:v>
                </c:pt>
                <c:pt idx="1108">
                  <c:v>59</c:v>
                </c:pt>
                <c:pt idx="1109">
                  <c:v>59.5</c:v>
                </c:pt>
                <c:pt idx="1110">
                  <c:v>60</c:v>
                </c:pt>
                <c:pt idx="1111">
                  <c:v>60.5</c:v>
                </c:pt>
                <c:pt idx="1112">
                  <c:v>61</c:v>
                </c:pt>
                <c:pt idx="1113">
                  <c:v>61.5</c:v>
                </c:pt>
                <c:pt idx="1114">
                  <c:v>62.1</c:v>
                </c:pt>
                <c:pt idx="1115">
                  <c:v>62.7</c:v>
                </c:pt>
                <c:pt idx="1116">
                  <c:v>63.3</c:v>
                </c:pt>
                <c:pt idx="1117">
                  <c:v>63.9</c:v>
                </c:pt>
                <c:pt idx="1118">
                  <c:v>64.5</c:v>
                </c:pt>
                <c:pt idx="1119">
                  <c:v>65.2</c:v>
                </c:pt>
                <c:pt idx="1120">
                  <c:v>65.900000000000006</c:v>
                </c:pt>
                <c:pt idx="1121">
                  <c:v>66.7</c:v>
                </c:pt>
                <c:pt idx="1122">
                  <c:v>67.5</c:v>
                </c:pt>
                <c:pt idx="1123">
                  <c:v>68.3</c:v>
                </c:pt>
                <c:pt idx="1124">
                  <c:v>69.099999999999994</c:v>
                </c:pt>
                <c:pt idx="1125">
                  <c:v>70</c:v>
                </c:pt>
                <c:pt idx="1126">
                  <c:v>70.900000000000006</c:v>
                </c:pt>
                <c:pt idx="1127">
                  <c:v>71.900000000000006</c:v>
                </c:pt>
                <c:pt idx="1128">
                  <c:v>73</c:v>
                </c:pt>
                <c:pt idx="1129">
                  <c:v>74</c:v>
                </c:pt>
                <c:pt idx="1130">
                  <c:v>75.2</c:v>
                </c:pt>
                <c:pt idx="1131">
                  <c:v>76.400000000000006</c:v>
                </c:pt>
                <c:pt idx="1132">
                  <c:v>77.599999999999994</c:v>
                </c:pt>
                <c:pt idx="1133">
                  <c:v>79</c:v>
                </c:pt>
                <c:pt idx="1134">
                  <c:v>80.400000000000006</c:v>
                </c:pt>
                <c:pt idx="1135">
                  <c:v>81.900000000000006</c:v>
                </c:pt>
                <c:pt idx="1136">
                  <c:v>83.4</c:v>
                </c:pt>
                <c:pt idx="1137">
                  <c:v>85.1</c:v>
                </c:pt>
                <c:pt idx="1138">
                  <c:v>86.9</c:v>
                </c:pt>
                <c:pt idx="1139">
                  <c:v>88.7</c:v>
                </c:pt>
                <c:pt idx="1140">
                  <c:v>90.7</c:v>
                </c:pt>
                <c:pt idx="1141">
                  <c:v>92.9</c:v>
                </c:pt>
                <c:pt idx="1142">
                  <c:v>95.1</c:v>
                </c:pt>
                <c:pt idx="1143">
                  <c:v>97.5</c:v>
                </c:pt>
                <c:pt idx="1144">
                  <c:v>100.1</c:v>
                </c:pt>
                <c:pt idx="1145">
                  <c:v>102.8</c:v>
                </c:pt>
                <c:pt idx="1146">
                  <c:v>105.7</c:v>
                </c:pt>
                <c:pt idx="1147">
                  <c:v>108.8</c:v>
                </c:pt>
                <c:pt idx="1148">
                  <c:v>112.2</c:v>
                </c:pt>
                <c:pt idx="1149">
                  <c:v>115.8</c:v>
                </c:pt>
                <c:pt idx="1150">
                  <c:v>119.6</c:v>
                </c:pt>
                <c:pt idx="1151">
                  <c:v>123.7</c:v>
                </c:pt>
                <c:pt idx="1152">
                  <c:v>128.1</c:v>
                </c:pt>
                <c:pt idx="1153">
                  <c:v>132.80000000000001</c:v>
                </c:pt>
                <c:pt idx="1154">
                  <c:v>137.9</c:v>
                </c:pt>
                <c:pt idx="1155">
                  <c:v>143.30000000000001</c:v>
                </c:pt>
                <c:pt idx="1156">
                  <c:v>149.1</c:v>
                </c:pt>
                <c:pt idx="1157">
                  <c:v>155.30000000000001</c:v>
                </c:pt>
                <c:pt idx="1158">
                  <c:v>161.9</c:v>
                </c:pt>
                <c:pt idx="1159">
                  <c:v>168.9</c:v>
                </c:pt>
                <c:pt idx="1160">
                  <c:v>176.3</c:v>
                </c:pt>
                <c:pt idx="1161">
                  <c:v>184.1</c:v>
                </c:pt>
                <c:pt idx="1162">
                  <c:v>192.3</c:v>
                </c:pt>
                <c:pt idx="1163">
                  <c:v>200.8</c:v>
                </c:pt>
                <c:pt idx="1164">
                  <c:v>209.5</c:v>
                </c:pt>
                <c:pt idx="1165">
                  <c:v>218.4</c:v>
                </c:pt>
                <c:pt idx="1166">
                  <c:v>227.2</c:v>
                </c:pt>
                <c:pt idx="1167">
                  <c:v>235.8</c:v>
                </c:pt>
                <c:pt idx="1168">
                  <c:v>244</c:v>
                </c:pt>
                <c:pt idx="1169">
                  <c:v>251.5</c:v>
                </c:pt>
                <c:pt idx="1170">
                  <c:v>258.10000000000002</c:v>
                </c:pt>
                <c:pt idx="1171">
                  <c:v>263.60000000000002</c:v>
                </c:pt>
                <c:pt idx="1172">
                  <c:v>267.89999999999998</c:v>
                </c:pt>
                <c:pt idx="1173">
                  <c:v>271</c:v>
                </c:pt>
                <c:pt idx="1174">
                  <c:v>273</c:v>
                </c:pt>
                <c:pt idx="1175">
                  <c:v>274.2</c:v>
                </c:pt>
                <c:pt idx="1176">
                  <c:v>274.8</c:v>
                </c:pt>
                <c:pt idx="1177">
                  <c:v>275.10000000000002</c:v>
                </c:pt>
                <c:pt idx="1178">
                  <c:v>275.10000000000002</c:v>
                </c:pt>
                <c:pt idx="1179">
                  <c:v>274.8</c:v>
                </c:pt>
                <c:pt idx="1180">
                  <c:v>274.2</c:v>
                </c:pt>
                <c:pt idx="1181">
                  <c:v>273.10000000000002</c:v>
                </c:pt>
                <c:pt idx="1182">
                  <c:v>271.10000000000002</c:v>
                </c:pt>
                <c:pt idx="1183">
                  <c:v>268</c:v>
                </c:pt>
                <c:pt idx="1184">
                  <c:v>263.8</c:v>
                </c:pt>
                <c:pt idx="1185">
                  <c:v>258.3</c:v>
                </c:pt>
                <c:pt idx="1186">
                  <c:v>251.8</c:v>
                </c:pt>
                <c:pt idx="1187">
                  <c:v>244.5</c:v>
                </c:pt>
                <c:pt idx="1188">
                  <c:v>236.4</c:v>
                </c:pt>
                <c:pt idx="1189">
                  <c:v>228</c:v>
                </c:pt>
                <c:pt idx="1190">
                  <c:v>219.3</c:v>
                </c:pt>
              </c:numCache>
            </c:numRef>
          </c:yVal>
          <c:smooth val="1"/>
          <c:extLst>
            <c:ext xmlns:c16="http://schemas.microsoft.com/office/drawing/2014/chart" uri="{C3380CC4-5D6E-409C-BE32-E72D297353CC}">
              <c16:uniqueId val="{00000002-EFD3-41E0-A788-ACBB18432052}"/>
            </c:ext>
          </c:extLst>
        </c:ser>
        <c:dLbls>
          <c:showLegendKey val="0"/>
          <c:showVal val="0"/>
          <c:showCatName val="0"/>
          <c:showSerName val="0"/>
          <c:showPercent val="0"/>
          <c:showBubbleSize val="0"/>
        </c:dLbls>
        <c:axId val="-2112370216"/>
        <c:axId val="-2107469800"/>
        <c:extLst/>
      </c:scatterChart>
      <c:valAx>
        <c:axId val="-2112370216"/>
        <c:scaling>
          <c:orientation val="minMax"/>
          <c:max val="120"/>
          <c:min val="0"/>
        </c:scaling>
        <c:delete val="0"/>
        <c:axPos val="b"/>
        <c:majorGridlines/>
        <c:title>
          <c:tx>
            <c:rich>
              <a:bodyPr/>
              <a:lstStyle/>
              <a:p>
                <a:pPr>
                  <a:defRPr sz="1600"/>
                </a:pPr>
                <a:r>
                  <a:rPr lang="en-US" sz="1600"/>
                  <a:t>Frequency, GHz</a:t>
                </a:r>
              </a:p>
            </c:rich>
          </c:tx>
          <c:layout>
            <c:manualLayout>
              <c:xMode val="edge"/>
              <c:yMode val="edge"/>
              <c:x val="0.39077235954218953"/>
              <c:y val="0.93295817135734793"/>
            </c:manualLayout>
          </c:layout>
          <c:overlay val="0"/>
        </c:title>
        <c:numFmt formatCode="0" sourceLinked="0"/>
        <c:majorTickMark val="out"/>
        <c:minorTickMark val="in"/>
        <c:tickLblPos val="nextTo"/>
        <c:spPr>
          <a:ln/>
        </c:spPr>
        <c:txPr>
          <a:bodyPr/>
          <a:lstStyle/>
          <a:p>
            <a:pPr>
              <a:defRPr sz="1400" b="1" i="0" baseline="0"/>
            </a:pPr>
            <a:endParaRPr lang="en-US"/>
          </a:p>
        </c:txPr>
        <c:crossAx val="-2107469800"/>
        <c:crosses val="autoZero"/>
        <c:crossBetween val="midCat"/>
        <c:majorUnit val="10"/>
        <c:minorUnit val="5"/>
      </c:valAx>
      <c:valAx>
        <c:axId val="-2107469800"/>
        <c:scaling>
          <c:orientation val="minMax"/>
          <c:max val="300"/>
        </c:scaling>
        <c:delete val="0"/>
        <c:axPos val="l"/>
        <c:majorGridlines/>
        <c:numFmt formatCode="General" sourceLinked="1"/>
        <c:majorTickMark val="out"/>
        <c:minorTickMark val="none"/>
        <c:tickLblPos val="nextTo"/>
        <c:txPr>
          <a:bodyPr/>
          <a:lstStyle/>
          <a:p>
            <a:pPr>
              <a:defRPr sz="1400" b="1" i="0" baseline="0"/>
            </a:pPr>
            <a:endParaRPr lang="en-US"/>
          </a:p>
        </c:txPr>
        <c:crossAx val="-2112370216"/>
        <c:crosses val="autoZero"/>
        <c:crossBetween val="midCat"/>
      </c:valAx>
    </c:plotArea>
    <c:legend>
      <c:legendPos val="r"/>
      <c:layout>
        <c:manualLayout>
          <c:xMode val="edge"/>
          <c:yMode val="edge"/>
          <c:x val="0.10570285052002901"/>
          <c:y val="9.9711319731752998E-2"/>
          <c:w val="0.12725901890616076"/>
          <c:h val="0.19547097012777054"/>
        </c:manualLayout>
      </c:layout>
      <c:overlay val="0"/>
      <c:spPr>
        <a:solidFill>
          <a:schemeClr val="bg1"/>
        </a:solidFill>
      </c:spPr>
      <c:txPr>
        <a:bodyPr/>
        <a:lstStyle/>
        <a:p>
          <a:pPr>
            <a:defRPr sz="1400" b="1" i="0"/>
          </a:pPr>
          <a:endParaRPr lang="en-US"/>
        </a:p>
      </c:txPr>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Tatm for VLA Site, 45 deg. Elevation</a:t>
            </a:r>
          </a:p>
        </c:rich>
      </c:tx>
      <c:layout>
        <c:manualLayout>
          <c:xMode val="edge"/>
          <c:yMode val="edge"/>
          <c:x val="0.29683616530984264"/>
          <c:y val="0"/>
        </c:manualLayout>
      </c:layout>
      <c:overlay val="0"/>
    </c:title>
    <c:autoTitleDeleted val="0"/>
    <c:plotArea>
      <c:layout>
        <c:manualLayout>
          <c:layoutTarget val="inner"/>
          <c:xMode val="edge"/>
          <c:yMode val="edge"/>
          <c:x val="6.9044735917186781E-2"/>
          <c:y val="7.4002748014091985E-2"/>
          <c:w val="0.88555754464972514"/>
          <c:h val="0.78411882452331705"/>
        </c:manualLayout>
      </c:layout>
      <c:scatterChart>
        <c:scatterStyle val="smoothMarker"/>
        <c:varyColors val="0"/>
        <c:ser>
          <c:idx val="3"/>
          <c:order val="0"/>
          <c:tx>
            <c:strRef>
              <c:f>Tatm!$H$5</c:f>
              <c:strCache>
                <c:ptCount val="1"/>
                <c:pt idx="0">
                  <c:v>1</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Tatm!$H$6:$H$1196</c:f>
              <c:numCache>
                <c:formatCode>General</c:formatCode>
                <c:ptCount val="1191"/>
                <c:pt idx="0">
                  <c:v>4.4000000000000004</c:v>
                </c:pt>
                <c:pt idx="1">
                  <c:v>4.4000000000000004</c:v>
                </c:pt>
                <c:pt idx="2">
                  <c:v>4.4000000000000004</c:v>
                </c:pt>
                <c:pt idx="3">
                  <c:v>4.4000000000000004</c:v>
                </c:pt>
                <c:pt idx="4">
                  <c:v>4.5</c:v>
                </c:pt>
                <c:pt idx="5">
                  <c:v>4.5</c:v>
                </c:pt>
                <c:pt idx="6">
                  <c:v>4.5</c:v>
                </c:pt>
                <c:pt idx="7">
                  <c:v>4.5</c:v>
                </c:pt>
                <c:pt idx="8">
                  <c:v>4.5</c:v>
                </c:pt>
                <c:pt idx="9">
                  <c:v>4.5</c:v>
                </c:pt>
                <c:pt idx="10">
                  <c:v>4.5</c:v>
                </c:pt>
                <c:pt idx="11">
                  <c:v>4.5</c:v>
                </c:pt>
                <c:pt idx="12">
                  <c:v>4.5</c:v>
                </c:pt>
                <c:pt idx="13">
                  <c:v>4.5</c:v>
                </c:pt>
                <c:pt idx="14">
                  <c:v>4.5</c:v>
                </c:pt>
                <c:pt idx="15">
                  <c:v>4.5</c:v>
                </c:pt>
                <c:pt idx="16">
                  <c:v>4.5</c:v>
                </c:pt>
                <c:pt idx="17">
                  <c:v>4.5999999999999996</c:v>
                </c:pt>
                <c:pt idx="18">
                  <c:v>4.5999999999999996</c:v>
                </c:pt>
                <c:pt idx="19">
                  <c:v>4.5999999999999996</c:v>
                </c:pt>
                <c:pt idx="20">
                  <c:v>4.5999999999999996</c:v>
                </c:pt>
                <c:pt idx="21">
                  <c:v>4.5999999999999996</c:v>
                </c:pt>
                <c:pt idx="22">
                  <c:v>4.5999999999999996</c:v>
                </c:pt>
                <c:pt idx="23">
                  <c:v>4.5999999999999996</c:v>
                </c:pt>
                <c:pt idx="24">
                  <c:v>4.5999999999999996</c:v>
                </c:pt>
                <c:pt idx="25">
                  <c:v>4.5999999999999996</c:v>
                </c:pt>
                <c:pt idx="26">
                  <c:v>4.5999999999999996</c:v>
                </c:pt>
                <c:pt idx="27">
                  <c:v>4.5999999999999996</c:v>
                </c:pt>
                <c:pt idx="28">
                  <c:v>4.5999999999999996</c:v>
                </c:pt>
                <c:pt idx="29">
                  <c:v>4.5999999999999996</c:v>
                </c:pt>
                <c:pt idx="30">
                  <c:v>4.5999999999999996</c:v>
                </c:pt>
                <c:pt idx="31">
                  <c:v>4.5999999999999996</c:v>
                </c:pt>
                <c:pt idx="32">
                  <c:v>4.5999999999999996</c:v>
                </c:pt>
                <c:pt idx="33">
                  <c:v>4.5999999999999996</c:v>
                </c:pt>
                <c:pt idx="34">
                  <c:v>4.5999999999999996</c:v>
                </c:pt>
                <c:pt idx="35">
                  <c:v>4.5999999999999996</c:v>
                </c:pt>
                <c:pt idx="36">
                  <c:v>4.5999999999999996</c:v>
                </c:pt>
                <c:pt idx="37">
                  <c:v>4.5999999999999996</c:v>
                </c:pt>
                <c:pt idx="38">
                  <c:v>4.5999999999999996</c:v>
                </c:pt>
                <c:pt idx="39">
                  <c:v>4.5999999999999996</c:v>
                </c:pt>
                <c:pt idx="40">
                  <c:v>4.5999999999999996</c:v>
                </c:pt>
                <c:pt idx="41">
                  <c:v>4.5999999999999996</c:v>
                </c:pt>
                <c:pt idx="42">
                  <c:v>4.5999999999999996</c:v>
                </c:pt>
                <c:pt idx="43">
                  <c:v>4.5999999999999996</c:v>
                </c:pt>
                <c:pt idx="44">
                  <c:v>4.5999999999999996</c:v>
                </c:pt>
                <c:pt idx="45">
                  <c:v>4.5999999999999996</c:v>
                </c:pt>
                <c:pt idx="46">
                  <c:v>4.5999999999999996</c:v>
                </c:pt>
                <c:pt idx="47">
                  <c:v>4.5999999999999996</c:v>
                </c:pt>
                <c:pt idx="48">
                  <c:v>4.5999999999999996</c:v>
                </c:pt>
                <c:pt idx="49">
                  <c:v>4.5999999999999996</c:v>
                </c:pt>
                <c:pt idx="50">
                  <c:v>4.5999999999999996</c:v>
                </c:pt>
                <c:pt idx="51">
                  <c:v>4.7</c:v>
                </c:pt>
                <c:pt idx="52">
                  <c:v>4.7</c:v>
                </c:pt>
                <c:pt idx="53">
                  <c:v>4.7</c:v>
                </c:pt>
                <c:pt idx="54">
                  <c:v>4.7</c:v>
                </c:pt>
                <c:pt idx="55">
                  <c:v>4.7</c:v>
                </c:pt>
                <c:pt idx="56">
                  <c:v>4.7</c:v>
                </c:pt>
                <c:pt idx="57">
                  <c:v>4.7</c:v>
                </c:pt>
                <c:pt idx="58">
                  <c:v>4.7</c:v>
                </c:pt>
                <c:pt idx="59">
                  <c:v>4.7</c:v>
                </c:pt>
                <c:pt idx="60">
                  <c:v>4.7</c:v>
                </c:pt>
                <c:pt idx="61">
                  <c:v>4.7</c:v>
                </c:pt>
                <c:pt idx="62">
                  <c:v>4.7</c:v>
                </c:pt>
                <c:pt idx="63">
                  <c:v>4.7</c:v>
                </c:pt>
                <c:pt idx="64">
                  <c:v>4.7</c:v>
                </c:pt>
                <c:pt idx="65">
                  <c:v>4.7</c:v>
                </c:pt>
                <c:pt idx="66">
                  <c:v>4.7</c:v>
                </c:pt>
                <c:pt idx="67">
                  <c:v>4.7</c:v>
                </c:pt>
                <c:pt idx="68">
                  <c:v>4.7</c:v>
                </c:pt>
                <c:pt idx="69">
                  <c:v>4.7</c:v>
                </c:pt>
                <c:pt idx="70">
                  <c:v>4.7</c:v>
                </c:pt>
                <c:pt idx="71">
                  <c:v>4.7</c:v>
                </c:pt>
                <c:pt idx="72">
                  <c:v>4.7</c:v>
                </c:pt>
                <c:pt idx="73">
                  <c:v>4.7</c:v>
                </c:pt>
                <c:pt idx="74">
                  <c:v>4.7</c:v>
                </c:pt>
                <c:pt idx="75">
                  <c:v>4.7</c:v>
                </c:pt>
                <c:pt idx="76">
                  <c:v>4.8</c:v>
                </c:pt>
                <c:pt idx="77">
                  <c:v>4.8</c:v>
                </c:pt>
                <c:pt idx="78">
                  <c:v>4.8</c:v>
                </c:pt>
                <c:pt idx="79">
                  <c:v>4.8</c:v>
                </c:pt>
                <c:pt idx="80">
                  <c:v>4.8</c:v>
                </c:pt>
                <c:pt idx="81">
                  <c:v>4.8</c:v>
                </c:pt>
                <c:pt idx="82">
                  <c:v>4.8</c:v>
                </c:pt>
                <c:pt idx="83">
                  <c:v>4.8</c:v>
                </c:pt>
                <c:pt idx="84">
                  <c:v>4.8</c:v>
                </c:pt>
                <c:pt idx="85">
                  <c:v>4.8</c:v>
                </c:pt>
                <c:pt idx="86">
                  <c:v>4.8</c:v>
                </c:pt>
                <c:pt idx="87">
                  <c:v>4.8</c:v>
                </c:pt>
                <c:pt idx="88">
                  <c:v>4.8</c:v>
                </c:pt>
                <c:pt idx="89">
                  <c:v>4.8</c:v>
                </c:pt>
                <c:pt idx="90">
                  <c:v>4.8</c:v>
                </c:pt>
                <c:pt idx="91">
                  <c:v>4.8</c:v>
                </c:pt>
                <c:pt idx="92">
                  <c:v>4.8</c:v>
                </c:pt>
                <c:pt idx="93">
                  <c:v>4.8</c:v>
                </c:pt>
                <c:pt idx="94">
                  <c:v>4.8</c:v>
                </c:pt>
                <c:pt idx="95">
                  <c:v>4.9000000000000004</c:v>
                </c:pt>
                <c:pt idx="96">
                  <c:v>4.9000000000000004</c:v>
                </c:pt>
                <c:pt idx="97">
                  <c:v>4.9000000000000004</c:v>
                </c:pt>
                <c:pt idx="98">
                  <c:v>4.9000000000000004</c:v>
                </c:pt>
                <c:pt idx="99">
                  <c:v>4.9000000000000004</c:v>
                </c:pt>
                <c:pt idx="100">
                  <c:v>4.9000000000000004</c:v>
                </c:pt>
                <c:pt idx="101">
                  <c:v>4.9000000000000004</c:v>
                </c:pt>
                <c:pt idx="102">
                  <c:v>4.9000000000000004</c:v>
                </c:pt>
                <c:pt idx="103">
                  <c:v>4.9000000000000004</c:v>
                </c:pt>
                <c:pt idx="104">
                  <c:v>4.9000000000000004</c:v>
                </c:pt>
                <c:pt idx="105">
                  <c:v>4.9000000000000004</c:v>
                </c:pt>
                <c:pt idx="106">
                  <c:v>4.9000000000000004</c:v>
                </c:pt>
                <c:pt idx="107">
                  <c:v>4.9000000000000004</c:v>
                </c:pt>
                <c:pt idx="108">
                  <c:v>4.9000000000000004</c:v>
                </c:pt>
                <c:pt idx="109">
                  <c:v>4.9000000000000004</c:v>
                </c:pt>
                <c:pt idx="110">
                  <c:v>5</c:v>
                </c:pt>
                <c:pt idx="111">
                  <c:v>5</c:v>
                </c:pt>
                <c:pt idx="112">
                  <c:v>5</c:v>
                </c:pt>
                <c:pt idx="113">
                  <c:v>5</c:v>
                </c:pt>
                <c:pt idx="114">
                  <c:v>5</c:v>
                </c:pt>
                <c:pt idx="115">
                  <c:v>5</c:v>
                </c:pt>
                <c:pt idx="116">
                  <c:v>5</c:v>
                </c:pt>
                <c:pt idx="117">
                  <c:v>5</c:v>
                </c:pt>
                <c:pt idx="118">
                  <c:v>5</c:v>
                </c:pt>
                <c:pt idx="119">
                  <c:v>5</c:v>
                </c:pt>
                <c:pt idx="120">
                  <c:v>5</c:v>
                </c:pt>
                <c:pt idx="121">
                  <c:v>5</c:v>
                </c:pt>
                <c:pt idx="122">
                  <c:v>5</c:v>
                </c:pt>
                <c:pt idx="123">
                  <c:v>5.0999999999999996</c:v>
                </c:pt>
                <c:pt idx="124">
                  <c:v>5.0999999999999996</c:v>
                </c:pt>
                <c:pt idx="125">
                  <c:v>5.0999999999999996</c:v>
                </c:pt>
                <c:pt idx="126">
                  <c:v>5.0999999999999996</c:v>
                </c:pt>
                <c:pt idx="127">
                  <c:v>5.0999999999999996</c:v>
                </c:pt>
                <c:pt idx="128">
                  <c:v>5.0999999999999996</c:v>
                </c:pt>
                <c:pt idx="129">
                  <c:v>5.0999999999999996</c:v>
                </c:pt>
                <c:pt idx="130">
                  <c:v>5.0999999999999996</c:v>
                </c:pt>
                <c:pt idx="131">
                  <c:v>5.0999999999999996</c:v>
                </c:pt>
                <c:pt idx="132">
                  <c:v>5.0999999999999996</c:v>
                </c:pt>
                <c:pt idx="133">
                  <c:v>5.2</c:v>
                </c:pt>
                <c:pt idx="134">
                  <c:v>5.2</c:v>
                </c:pt>
                <c:pt idx="135">
                  <c:v>5.2</c:v>
                </c:pt>
                <c:pt idx="136">
                  <c:v>5.2</c:v>
                </c:pt>
                <c:pt idx="137">
                  <c:v>5.2</c:v>
                </c:pt>
                <c:pt idx="138">
                  <c:v>5.2</c:v>
                </c:pt>
                <c:pt idx="139">
                  <c:v>5.2</c:v>
                </c:pt>
                <c:pt idx="140">
                  <c:v>5.2</c:v>
                </c:pt>
                <c:pt idx="141">
                  <c:v>5.2</c:v>
                </c:pt>
                <c:pt idx="142">
                  <c:v>5.3</c:v>
                </c:pt>
                <c:pt idx="143">
                  <c:v>5.3</c:v>
                </c:pt>
                <c:pt idx="144">
                  <c:v>5.3</c:v>
                </c:pt>
                <c:pt idx="145">
                  <c:v>5.3</c:v>
                </c:pt>
                <c:pt idx="146">
                  <c:v>5.3</c:v>
                </c:pt>
                <c:pt idx="147">
                  <c:v>5.3</c:v>
                </c:pt>
                <c:pt idx="148">
                  <c:v>5.3</c:v>
                </c:pt>
                <c:pt idx="149">
                  <c:v>5.3</c:v>
                </c:pt>
                <c:pt idx="150">
                  <c:v>5.4</c:v>
                </c:pt>
                <c:pt idx="151">
                  <c:v>5.4</c:v>
                </c:pt>
                <c:pt idx="152">
                  <c:v>5.4</c:v>
                </c:pt>
                <c:pt idx="153">
                  <c:v>5.4</c:v>
                </c:pt>
                <c:pt idx="154">
                  <c:v>5.4</c:v>
                </c:pt>
                <c:pt idx="155">
                  <c:v>5.4</c:v>
                </c:pt>
                <c:pt idx="156">
                  <c:v>5.5</c:v>
                </c:pt>
                <c:pt idx="157">
                  <c:v>5.5</c:v>
                </c:pt>
                <c:pt idx="158">
                  <c:v>5.5</c:v>
                </c:pt>
                <c:pt idx="159">
                  <c:v>5.5</c:v>
                </c:pt>
                <c:pt idx="160">
                  <c:v>5.5</c:v>
                </c:pt>
                <c:pt idx="161">
                  <c:v>5.5</c:v>
                </c:pt>
                <c:pt idx="162">
                  <c:v>5.6</c:v>
                </c:pt>
                <c:pt idx="163">
                  <c:v>5.6</c:v>
                </c:pt>
                <c:pt idx="164">
                  <c:v>5.6</c:v>
                </c:pt>
                <c:pt idx="165">
                  <c:v>5.6</c:v>
                </c:pt>
                <c:pt idx="166">
                  <c:v>5.7</c:v>
                </c:pt>
                <c:pt idx="167">
                  <c:v>5.7</c:v>
                </c:pt>
                <c:pt idx="168">
                  <c:v>5.7</c:v>
                </c:pt>
                <c:pt idx="169">
                  <c:v>5.7</c:v>
                </c:pt>
                <c:pt idx="170">
                  <c:v>5.8</c:v>
                </c:pt>
                <c:pt idx="171">
                  <c:v>5.8</c:v>
                </c:pt>
                <c:pt idx="172">
                  <c:v>5.8</c:v>
                </c:pt>
                <c:pt idx="173">
                  <c:v>5.8</c:v>
                </c:pt>
                <c:pt idx="174">
                  <c:v>5.9</c:v>
                </c:pt>
                <c:pt idx="175">
                  <c:v>5.9</c:v>
                </c:pt>
                <c:pt idx="176">
                  <c:v>5.9</c:v>
                </c:pt>
                <c:pt idx="177">
                  <c:v>6</c:v>
                </c:pt>
                <c:pt idx="178">
                  <c:v>6</c:v>
                </c:pt>
                <c:pt idx="179">
                  <c:v>6</c:v>
                </c:pt>
                <c:pt idx="180">
                  <c:v>6.1</c:v>
                </c:pt>
                <c:pt idx="181">
                  <c:v>6.1</c:v>
                </c:pt>
                <c:pt idx="182">
                  <c:v>6.2</c:v>
                </c:pt>
                <c:pt idx="183">
                  <c:v>6.2</c:v>
                </c:pt>
                <c:pt idx="184">
                  <c:v>6.3</c:v>
                </c:pt>
                <c:pt idx="185">
                  <c:v>6.3</c:v>
                </c:pt>
                <c:pt idx="186">
                  <c:v>6.4</c:v>
                </c:pt>
                <c:pt idx="187">
                  <c:v>6.4</c:v>
                </c:pt>
                <c:pt idx="188">
                  <c:v>6.5</c:v>
                </c:pt>
                <c:pt idx="189">
                  <c:v>6.5</c:v>
                </c:pt>
                <c:pt idx="190">
                  <c:v>6.6</c:v>
                </c:pt>
                <c:pt idx="191">
                  <c:v>6.7</c:v>
                </c:pt>
                <c:pt idx="192">
                  <c:v>6.8</c:v>
                </c:pt>
                <c:pt idx="193">
                  <c:v>6.8</c:v>
                </c:pt>
                <c:pt idx="194">
                  <c:v>6.9</c:v>
                </c:pt>
                <c:pt idx="195">
                  <c:v>7</c:v>
                </c:pt>
                <c:pt idx="196">
                  <c:v>7.1</c:v>
                </c:pt>
                <c:pt idx="197">
                  <c:v>7.2</c:v>
                </c:pt>
                <c:pt idx="198">
                  <c:v>7.3</c:v>
                </c:pt>
                <c:pt idx="199">
                  <c:v>7.4</c:v>
                </c:pt>
                <c:pt idx="200">
                  <c:v>7.5</c:v>
                </c:pt>
                <c:pt idx="201">
                  <c:v>7.6</c:v>
                </c:pt>
                <c:pt idx="202">
                  <c:v>7.7</c:v>
                </c:pt>
                <c:pt idx="203">
                  <c:v>7.8</c:v>
                </c:pt>
                <c:pt idx="204">
                  <c:v>8</c:v>
                </c:pt>
                <c:pt idx="205">
                  <c:v>8.1</c:v>
                </c:pt>
                <c:pt idx="206">
                  <c:v>8.1999999999999993</c:v>
                </c:pt>
                <c:pt idx="207">
                  <c:v>8.3000000000000007</c:v>
                </c:pt>
                <c:pt idx="208">
                  <c:v>8.4</c:v>
                </c:pt>
                <c:pt idx="209">
                  <c:v>8.5</c:v>
                </c:pt>
                <c:pt idx="210">
                  <c:v>8.6</c:v>
                </c:pt>
                <c:pt idx="211">
                  <c:v>8.6999999999999993</c:v>
                </c:pt>
                <c:pt idx="212">
                  <c:v>8.6999999999999993</c:v>
                </c:pt>
                <c:pt idx="213">
                  <c:v>8.8000000000000007</c:v>
                </c:pt>
                <c:pt idx="214">
                  <c:v>8.8000000000000007</c:v>
                </c:pt>
                <c:pt idx="215">
                  <c:v>8.8000000000000007</c:v>
                </c:pt>
                <c:pt idx="216">
                  <c:v>8.8000000000000007</c:v>
                </c:pt>
                <c:pt idx="217">
                  <c:v>8.6999999999999993</c:v>
                </c:pt>
                <c:pt idx="218">
                  <c:v>8.6999999999999993</c:v>
                </c:pt>
                <c:pt idx="219">
                  <c:v>8.6999999999999993</c:v>
                </c:pt>
                <c:pt idx="220">
                  <c:v>8.6</c:v>
                </c:pt>
                <c:pt idx="221">
                  <c:v>8.6</c:v>
                </c:pt>
                <c:pt idx="222">
                  <c:v>8.5</c:v>
                </c:pt>
                <c:pt idx="223">
                  <c:v>8.4</c:v>
                </c:pt>
                <c:pt idx="224">
                  <c:v>8.4</c:v>
                </c:pt>
                <c:pt idx="225">
                  <c:v>8.3000000000000007</c:v>
                </c:pt>
                <c:pt idx="226">
                  <c:v>8.1999999999999993</c:v>
                </c:pt>
                <c:pt idx="227">
                  <c:v>8.1999999999999993</c:v>
                </c:pt>
                <c:pt idx="228">
                  <c:v>8.1</c:v>
                </c:pt>
                <c:pt idx="229">
                  <c:v>8.1</c:v>
                </c:pt>
                <c:pt idx="230">
                  <c:v>8</c:v>
                </c:pt>
                <c:pt idx="231">
                  <c:v>8</c:v>
                </c:pt>
                <c:pt idx="232">
                  <c:v>7.9</c:v>
                </c:pt>
                <c:pt idx="233">
                  <c:v>7.9</c:v>
                </c:pt>
                <c:pt idx="234">
                  <c:v>7.8</c:v>
                </c:pt>
                <c:pt idx="235">
                  <c:v>7.8</c:v>
                </c:pt>
                <c:pt idx="236">
                  <c:v>7.8</c:v>
                </c:pt>
                <c:pt idx="237">
                  <c:v>7.7</c:v>
                </c:pt>
                <c:pt idx="238">
                  <c:v>7.7</c:v>
                </c:pt>
                <c:pt idx="239">
                  <c:v>7.7</c:v>
                </c:pt>
                <c:pt idx="240">
                  <c:v>7.7</c:v>
                </c:pt>
                <c:pt idx="241">
                  <c:v>7.6</c:v>
                </c:pt>
                <c:pt idx="242">
                  <c:v>7.6</c:v>
                </c:pt>
                <c:pt idx="243">
                  <c:v>7.6</c:v>
                </c:pt>
                <c:pt idx="244">
                  <c:v>7.6</c:v>
                </c:pt>
                <c:pt idx="245">
                  <c:v>7.6</c:v>
                </c:pt>
                <c:pt idx="246">
                  <c:v>7.6</c:v>
                </c:pt>
                <c:pt idx="247">
                  <c:v>7.6</c:v>
                </c:pt>
                <c:pt idx="248">
                  <c:v>7.6</c:v>
                </c:pt>
                <c:pt idx="249">
                  <c:v>7.6</c:v>
                </c:pt>
                <c:pt idx="250">
                  <c:v>7.6</c:v>
                </c:pt>
                <c:pt idx="251">
                  <c:v>7.6</c:v>
                </c:pt>
                <c:pt idx="252">
                  <c:v>7.6</c:v>
                </c:pt>
                <c:pt idx="253">
                  <c:v>7.6</c:v>
                </c:pt>
                <c:pt idx="254">
                  <c:v>7.6</c:v>
                </c:pt>
                <c:pt idx="255">
                  <c:v>7.6</c:v>
                </c:pt>
                <c:pt idx="256">
                  <c:v>7.6</c:v>
                </c:pt>
                <c:pt idx="257">
                  <c:v>7.6</c:v>
                </c:pt>
                <c:pt idx="258">
                  <c:v>7.6</c:v>
                </c:pt>
                <c:pt idx="259">
                  <c:v>7.6</c:v>
                </c:pt>
                <c:pt idx="260">
                  <c:v>7.6</c:v>
                </c:pt>
                <c:pt idx="261">
                  <c:v>7.6</c:v>
                </c:pt>
                <c:pt idx="262">
                  <c:v>7.6</c:v>
                </c:pt>
                <c:pt idx="263">
                  <c:v>7.6</c:v>
                </c:pt>
                <c:pt idx="264">
                  <c:v>7.7</c:v>
                </c:pt>
                <c:pt idx="265">
                  <c:v>7.7</c:v>
                </c:pt>
                <c:pt idx="266">
                  <c:v>7.7</c:v>
                </c:pt>
                <c:pt idx="267">
                  <c:v>7.7</c:v>
                </c:pt>
                <c:pt idx="268">
                  <c:v>7.7</c:v>
                </c:pt>
                <c:pt idx="269">
                  <c:v>7.7</c:v>
                </c:pt>
                <c:pt idx="270">
                  <c:v>7.8</c:v>
                </c:pt>
                <c:pt idx="271">
                  <c:v>7.8</c:v>
                </c:pt>
                <c:pt idx="272">
                  <c:v>7.8</c:v>
                </c:pt>
                <c:pt idx="273">
                  <c:v>7.8</c:v>
                </c:pt>
                <c:pt idx="274">
                  <c:v>7.8</c:v>
                </c:pt>
                <c:pt idx="275">
                  <c:v>7.9</c:v>
                </c:pt>
                <c:pt idx="276">
                  <c:v>7.9</c:v>
                </c:pt>
                <c:pt idx="277">
                  <c:v>7.9</c:v>
                </c:pt>
                <c:pt idx="278">
                  <c:v>7.9</c:v>
                </c:pt>
                <c:pt idx="279">
                  <c:v>8</c:v>
                </c:pt>
                <c:pt idx="280">
                  <c:v>8</c:v>
                </c:pt>
                <c:pt idx="281">
                  <c:v>8</c:v>
                </c:pt>
                <c:pt idx="282">
                  <c:v>8</c:v>
                </c:pt>
                <c:pt idx="283">
                  <c:v>8.1</c:v>
                </c:pt>
                <c:pt idx="284">
                  <c:v>8.1</c:v>
                </c:pt>
                <c:pt idx="285">
                  <c:v>8.1</c:v>
                </c:pt>
                <c:pt idx="286">
                  <c:v>8.1</c:v>
                </c:pt>
                <c:pt idx="287">
                  <c:v>8.1999999999999993</c:v>
                </c:pt>
                <c:pt idx="288">
                  <c:v>8.1999999999999993</c:v>
                </c:pt>
                <c:pt idx="289">
                  <c:v>8.1999999999999993</c:v>
                </c:pt>
                <c:pt idx="290">
                  <c:v>8.3000000000000007</c:v>
                </c:pt>
                <c:pt idx="291">
                  <c:v>8.3000000000000007</c:v>
                </c:pt>
                <c:pt idx="292">
                  <c:v>8.3000000000000007</c:v>
                </c:pt>
                <c:pt idx="293">
                  <c:v>8.4</c:v>
                </c:pt>
                <c:pt idx="294">
                  <c:v>8.4</c:v>
                </c:pt>
                <c:pt idx="295">
                  <c:v>8.4</c:v>
                </c:pt>
                <c:pt idx="296">
                  <c:v>8.5</c:v>
                </c:pt>
                <c:pt idx="297">
                  <c:v>8.5</c:v>
                </c:pt>
                <c:pt idx="298">
                  <c:v>8.5</c:v>
                </c:pt>
                <c:pt idx="299">
                  <c:v>8.6</c:v>
                </c:pt>
                <c:pt idx="300">
                  <c:v>8.6</c:v>
                </c:pt>
                <c:pt idx="301">
                  <c:v>8.6</c:v>
                </c:pt>
                <c:pt idx="302">
                  <c:v>8.6999999999999993</c:v>
                </c:pt>
                <c:pt idx="303">
                  <c:v>8.6999999999999993</c:v>
                </c:pt>
                <c:pt idx="304">
                  <c:v>8.6999999999999993</c:v>
                </c:pt>
                <c:pt idx="305">
                  <c:v>8.8000000000000007</c:v>
                </c:pt>
                <c:pt idx="306">
                  <c:v>8.8000000000000007</c:v>
                </c:pt>
                <c:pt idx="307">
                  <c:v>8.9</c:v>
                </c:pt>
                <c:pt idx="308">
                  <c:v>8.9</c:v>
                </c:pt>
                <c:pt idx="309">
                  <c:v>8.9</c:v>
                </c:pt>
                <c:pt idx="310">
                  <c:v>9</c:v>
                </c:pt>
                <c:pt idx="311">
                  <c:v>9</c:v>
                </c:pt>
                <c:pt idx="312">
                  <c:v>9.1</c:v>
                </c:pt>
                <c:pt idx="313">
                  <c:v>9.1</c:v>
                </c:pt>
                <c:pt idx="314">
                  <c:v>9.1999999999999993</c:v>
                </c:pt>
                <c:pt idx="315">
                  <c:v>9.1999999999999993</c:v>
                </c:pt>
                <c:pt idx="316">
                  <c:v>9.3000000000000007</c:v>
                </c:pt>
                <c:pt idx="317">
                  <c:v>9.3000000000000007</c:v>
                </c:pt>
                <c:pt idx="318">
                  <c:v>9.3000000000000007</c:v>
                </c:pt>
                <c:pt idx="319">
                  <c:v>9.4</c:v>
                </c:pt>
                <c:pt idx="320">
                  <c:v>9.4</c:v>
                </c:pt>
                <c:pt idx="321">
                  <c:v>9.5</c:v>
                </c:pt>
                <c:pt idx="322">
                  <c:v>9.5</c:v>
                </c:pt>
                <c:pt idx="323">
                  <c:v>9.6</c:v>
                </c:pt>
                <c:pt idx="324">
                  <c:v>9.6</c:v>
                </c:pt>
                <c:pt idx="325">
                  <c:v>9.6999999999999993</c:v>
                </c:pt>
                <c:pt idx="326">
                  <c:v>9.6999999999999993</c:v>
                </c:pt>
                <c:pt idx="327">
                  <c:v>9.8000000000000007</c:v>
                </c:pt>
                <c:pt idx="328">
                  <c:v>9.8000000000000007</c:v>
                </c:pt>
                <c:pt idx="329">
                  <c:v>9.9</c:v>
                </c:pt>
                <c:pt idx="330">
                  <c:v>10</c:v>
                </c:pt>
                <c:pt idx="331">
                  <c:v>10</c:v>
                </c:pt>
                <c:pt idx="332">
                  <c:v>10.1</c:v>
                </c:pt>
                <c:pt idx="333">
                  <c:v>10.1</c:v>
                </c:pt>
                <c:pt idx="334">
                  <c:v>10.199999999999999</c:v>
                </c:pt>
                <c:pt idx="335">
                  <c:v>10.199999999999999</c:v>
                </c:pt>
                <c:pt idx="336">
                  <c:v>10.3</c:v>
                </c:pt>
                <c:pt idx="337">
                  <c:v>10.4</c:v>
                </c:pt>
                <c:pt idx="338">
                  <c:v>10.4</c:v>
                </c:pt>
                <c:pt idx="339">
                  <c:v>10.5</c:v>
                </c:pt>
                <c:pt idx="340">
                  <c:v>10.5</c:v>
                </c:pt>
                <c:pt idx="341">
                  <c:v>10.6</c:v>
                </c:pt>
                <c:pt idx="342">
                  <c:v>10.7</c:v>
                </c:pt>
                <c:pt idx="343">
                  <c:v>10.7</c:v>
                </c:pt>
                <c:pt idx="344">
                  <c:v>10.8</c:v>
                </c:pt>
                <c:pt idx="345">
                  <c:v>10.9</c:v>
                </c:pt>
                <c:pt idx="346">
                  <c:v>10.9</c:v>
                </c:pt>
                <c:pt idx="347">
                  <c:v>11</c:v>
                </c:pt>
                <c:pt idx="348">
                  <c:v>11.1</c:v>
                </c:pt>
                <c:pt idx="349">
                  <c:v>11.1</c:v>
                </c:pt>
                <c:pt idx="350">
                  <c:v>11.2</c:v>
                </c:pt>
                <c:pt idx="351">
                  <c:v>11.3</c:v>
                </c:pt>
                <c:pt idx="352">
                  <c:v>11.4</c:v>
                </c:pt>
                <c:pt idx="353">
                  <c:v>11.4</c:v>
                </c:pt>
                <c:pt idx="354">
                  <c:v>11.5</c:v>
                </c:pt>
                <c:pt idx="355">
                  <c:v>11.6</c:v>
                </c:pt>
                <c:pt idx="356">
                  <c:v>11.7</c:v>
                </c:pt>
                <c:pt idx="357">
                  <c:v>11.7</c:v>
                </c:pt>
                <c:pt idx="358">
                  <c:v>11.8</c:v>
                </c:pt>
                <c:pt idx="359">
                  <c:v>11.9</c:v>
                </c:pt>
                <c:pt idx="360">
                  <c:v>12</c:v>
                </c:pt>
                <c:pt idx="361">
                  <c:v>12.1</c:v>
                </c:pt>
                <c:pt idx="362">
                  <c:v>12.2</c:v>
                </c:pt>
                <c:pt idx="363">
                  <c:v>12.2</c:v>
                </c:pt>
                <c:pt idx="364">
                  <c:v>12.3</c:v>
                </c:pt>
                <c:pt idx="365">
                  <c:v>12.4</c:v>
                </c:pt>
                <c:pt idx="366">
                  <c:v>12.5</c:v>
                </c:pt>
                <c:pt idx="367">
                  <c:v>12.6</c:v>
                </c:pt>
                <c:pt idx="368">
                  <c:v>12.7</c:v>
                </c:pt>
                <c:pt idx="369">
                  <c:v>12.8</c:v>
                </c:pt>
                <c:pt idx="370">
                  <c:v>12.9</c:v>
                </c:pt>
                <c:pt idx="371">
                  <c:v>13</c:v>
                </c:pt>
                <c:pt idx="372">
                  <c:v>13.1</c:v>
                </c:pt>
                <c:pt idx="373">
                  <c:v>13.2</c:v>
                </c:pt>
                <c:pt idx="374">
                  <c:v>13.3</c:v>
                </c:pt>
                <c:pt idx="375">
                  <c:v>13.4</c:v>
                </c:pt>
                <c:pt idx="376">
                  <c:v>13.5</c:v>
                </c:pt>
                <c:pt idx="377">
                  <c:v>13.6</c:v>
                </c:pt>
                <c:pt idx="378">
                  <c:v>13.7</c:v>
                </c:pt>
                <c:pt idx="379">
                  <c:v>13.8</c:v>
                </c:pt>
                <c:pt idx="380">
                  <c:v>13.9</c:v>
                </c:pt>
                <c:pt idx="381">
                  <c:v>14</c:v>
                </c:pt>
                <c:pt idx="382">
                  <c:v>14.1</c:v>
                </c:pt>
                <c:pt idx="383">
                  <c:v>14.2</c:v>
                </c:pt>
                <c:pt idx="384">
                  <c:v>14.4</c:v>
                </c:pt>
                <c:pt idx="385">
                  <c:v>14.5</c:v>
                </c:pt>
                <c:pt idx="386">
                  <c:v>14.6</c:v>
                </c:pt>
                <c:pt idx="387">
                  <c:v>14.7</c:v>
                </c:pt>
                <c:pt idx="388">
                  <c:v>14.9</c:v>
                </c:pt>
                <c:pt idx="389">
                  <c:v>15</c:v>
                </c:pt>
                <c:pt idx="390">
                  <c:v>15.1</c:v>
                </c:pt>
                <c:pt idx="391">
                  <c:v>15.2</c:v>
                </c:pt>
                <c:pt idx="392">
                  <c:v>15.4</c:v>
                </c:pt>
                <c:pt idx="393">
                  <c:v>15.5</c:v>
                </c:pt>
                <c:pt idx="394">
                  <c:v>15.6</c:v>
                </c:pt>
                <c:pt idx="395">
                  <c:v>15.8</c:v>
                </c:pt>
                <c:pt idx="396">
                  <c:v>15.9</c:v>
                </c:pt>
                <c:pt idx="397">
                  <c:v>16.100000000000001</c:v>
                </c:pt>
                <c:pt idx="398">
                  <c:v>16.2</c:v>
                </c:pt>
                <c:pt idx="399">
                  <c:v>16.399999999999999</c:v>
                </c:pt>
                <c:pt idx="400">
                  <c:v>16.5</c:v>
                </c:pt>
                <c:pt idx="401">
                  <c:v>16.7</c:v>
                </c:pt>
                <c:pt idx="402">
                  <c:v>16.8</c:v>
                </c:pt>
                <c:pt idx="403">
                  <c:v>17</c:v>
                </c:pt>
                <c:pt idx="404">
                  <c:v>17.2</c:v>
                </c:pt>
                <c:pt idx="405">
                  <c:v>17.3</c:v>
                </c:pt>
                <c:pt idx="406">
                  <c:v>17.5</c:v>
                </c:pt>
                <c:pt idx="407">
                  <c:v>17.7</c:v>
                </c:pt>
                <c:pt idx="408">
                  <c:v>17.8</c:v>
                </c:pt>
                <c:pt idx="409">
                  <c:v>18</c:v>
                </c:pt>
                <c:pt idx="410">
                  <c:v>18.2</c:v>
                </c:pt>
                <c:pt idx="411">
                  <c:v>18.399999999999999</c:v>
                </c:pt>
                <c:pt idx="412">
                  <c:v>18.600000000000001</c:v>
                </c:pt>
                <c:pt idx="413">
                  <c:v>18.8</c:v>
                </c:pt>
                <c:pt idx="414">
                  <c:v>19</c:v>
                </c:pt>
                <c:pt idx="415">
                  <c:v>19.2</c:v>
                </c:pt>
                <c:pt idx="416">
                  <c:v>19.399999999999999</c:v>
                </c:pt>
                <c:pt idx="417">
                  <c:v>19.600000000000001</c:v>
                </c:pt>
                <c:pt idx="418">
                  <c:v>19.8</c:v>
                </c:pt>
                <c:pt idx="419">
                  <c:v>20</c:v>
                </c:pt>
                <c:pt idx="420">
                  <c:v>20.2</c:v>
                </c:pt>
                <c:pt idx="421">
                  <c:v>20.399999999999999</c:v>
                </c:pt>
                <c:pt idx="422">
                  <c:v>20.7</c:v>
                </c:pt>
                <c:pt idx="423">
                  <c:v>20.9</c:v>
                </c:pt>
                <c:pt idx="424">
                  <c:v>21.1</c:v>
                </c:pt>
                <c:pt idx="425">
                  <c:v>21.4</c:v>
                </c:pt>
                <c:pt idx="426">
                  <c:v>21.6</c:v>
                </c:pt>
                <c:pt idx="427">
                  <c:v>21.9</c:v>
                </c:pt>
                <c:pt idx="428">
                  <c:v>22.1</c:v>
                </c:pt>
                <c:pt idx="429">
                  <c:v>22.4</c:v>
                </c:pt>
                <c:pt idx="430">
                  <c:v>22.6</c:v>
                </c:pt>
                <c:pt idx="431">
                  <c:v>22.9</c:v>
                </c:pt>
                <c:pt idx="432">
                  <c:v>23.2</c:v>
                </c:pt>
                <c:pt idx="433">
                  <c:v>23.5</c:v>
                </c:pt>
                <c:pt idx="434">
                  <c:v>23.8</c:v>
                </c:pt>
                <c:pt idx="435">
                  <c:v>24.1</c:v>
                </c:pt>
                <c:pt idx="436">
                  <c:v>24.4</c:v>
                </c:pt>
                <c:pt idx="437">
                  <c:v>24.7</c:v>
                </c:pt>
                <c:pt idx="438">
                  <c:v>25</c:v>
                </c:pt>
                <c:pt idx="439">
                  <c:v>25.3</c:v>
                </c:pt>
                <c:pt idx="440">
                  <c:v>25.6</c:v>
                </c:pt>
                <c:pt idx="441">
                  <c:v>26</c:v>
                </c:pt>
                <c:pt idx="442">
                  <c:v>26.3</c:v>
                </c:pt>
                <c:pt idx="443">
                  <c:v>26.7</c:v>
                </c:pt>
                <c:pt idx="444">
                  <c:v>27</c:v>
                </c:pt>
                <c:pt idx="445">
                  <c:v>27.4</c:v>
                </c:pt>
                <c:pt idx="446">
                  <c:v>27.8</c:v>
                </c:pt>
                <c:pt idx="447">
                  <c:v>28.2</c:v>
                </c:pt>
                <c:pt idx="448">
                  <c:v>28.6</c:v>
                </c:pt>
                <c:pt idx="449">
                  <c:v>29</c:v>
                </c:pt>
                <c:pt idx="450">
                  <c:v>29.4</c:v>
                </c:pt>
                <c:pt idx="451">
                  <c:v>29.8</c:v>
                </c:pt>
                <c:pt idx="452">
                  <c:v>30.2</c:v>
                </c:pt>
                <c:pt idx="453">
                  <c:v>30.7</c:v>
                </c:pt>
                <c:pt idx="454">
                  <c:v>31.1</c:v>
                </c:pt>
                <c:pt idx="455">
                  <c:v>31.6</c:v>
                </c:pt>
                <c:pt idx="456">
                  <c:v>32.1</c:v>
                </c:pt>
                <c:pt idx="457">
                  <c:v>32.6</c:v>
                </c:pt>
                <c:pt idx="458">
                  <c:v>33.1</c:v>
                </c:pt>
                <c:pt idx="459">
                  <c:v>33.6</c:v>
                </c:pt>
                <c:pt idx="460">
                  <c:v>34.1</c:v>
                </c:pt>
                <c:pt idx="461">
                  <c:v>34.6</c:v>
                </c:pt>
                <c:pt idx="462">
                  <c:v>35.200000000000003</c:v>
                </c:pt>
                <c:pt idx="463">
                  <c:v>35.799999999999997</c:v>
                </c:pt>
                <c:pt idx="464">
                  <c:v>36.4</c:v>
                </c:pt>
                <c:pt idx="465">
                  <c:v>37</c:v>
                </c:pt>
                <c:pt idx="466">
                  <c:v>37.6</c:v>
                </c:pt>
                <c:pt idx="467">
                  <c:v>38.200000000000003</c:v>
                </c:pt>
                <c:pt idx="468">
                  <c:v>38.9</c:v>
                </c:pt>
                <c:pt idx="469">
                  <c:v>39.6</c:v>
                </c:pt>
                <c:pt idx="470">
                  <c:v>40.299999999999997</c:v>
                </c:pt>
                <c:pt idx="471">
                  <c:v>41</c:v>
                </c:pt>
                <c:pt idx="472">
                  <c:v>41.7</c:v>
                </c:pt>
                <c:pt idx="473">
                  <c:v>42.5</c:v>
                </c:pt>
                <c:pt idx="474">
                  <c:v>43.3</c:v>
                </c:pt>
                <c:pt idx="475">
                  <c:v>44.1</c:v>
                </c:pt>
                <c:pt idx="476">
                  <c:v>44.9</c:v>
                </c:pt>
                <c:pt idx="477">
                  <c:v>45.8</c:v>
                </c:pt>
                <c:pt idx="478">
                  <c:v>46.7</c:v>
                </c:pt>
                <c:pt idx="479">
                  <c:v>47.6</c:v>
                </c:pt>
                <c:pt idx="480">
                  <c:v>48.5</c:v>
                </c:pt>
                <c:pt idx="481">
                  <c:v>49.5</c:v>
                </c:pt>
                <c:pt idx="482">
                  <c:v>50.5</c:v>
                </c:pt>
                <c:pt idx="483">
                  <c:v>51.6</c:v>
                </c:pt>
                <c:pt idx="484">
                  <c:v>52.7</c:v>
                </c:pt>
                <c:pt idx="485">
                  <c:v>53.8</c:v>
                </c:pt>
                <c:pt idx="486">
                  <c:v>55</c:v>
                </c:pt>
                <c:pt idx="487">
                  <c:v>56.2</c:v>
                </c:pt>
                <c:pt idx="488">
                  <c:v>57.4</c:v>
                </c:pt>
                <c:pt idx="489">
                  <c:v>58.7</c:v>
                </c:pt>
                <c:pt idx="490">
                  <c:v>60.1</c:v>
                </c:pt>
                <c:pt idx="491">
                  <c:v>61.5</c:v>
                </c:pt>
                <c:pt idx="492">
                  <c:v>63</c:v>
                </c:pt>
                <c:pt idx="493">
                  <c:v>64.599999999999994</c:v>
                </c:pt>
                <c:pt idx="494">
                  <c:v>66.3</c:v>
                </c:pt>
                <c:pt idx="495">
                  <c:v>68</c:v>
                </c:pt>
                <c:pt idx="496">
                  <c:v>69.8</c:v>
                </c:pt>
                <c:pt idx="497">
                  <c:v>71.7</c:v>
                </c:pt>
                <c:pt idx="498">
                  <c:v>73.599999999999994</c:v>
                </c:pt>
                <c:pt idx="499">
                  <c:v>75.8</c:v>
                </c:pt>
                <c:pt idx="500">
                  <c:v>78</c:v>
                </c:pt>
                <c:pt idx="501">
                  <c:v>80.3</c:v>
                </c:pt>
                <c:pt idx="502">
                  <c:v>82.8</c:v>
                </c:pt>
                <c:pt idx="503">
                  <c:v>85.4</c:v>
                </c:pt>
                <c:pt idx="504">
                  <c:v>88.2</c:v>
                </c:pt>
                <c:pt idx="505">
                  <c:v>91.4</c:v>
                </c:pt>
                <c:pt idx="506">
                  <c:v>94.3</c:v>
                </c:pt>
                <c:pt idx="507">
                  <c:v>97.6</c:v>
                </c:pt>
                <c:pt idx="508">
                  <c:v>101.2</c:v>
                </c:pt>
                <c:pt idx="509">
                  <c:v>105.1</c:v>
                </c:pt>
                <c:pt idx="510">
                  <c:v>109.5</c:v>
                </c:pt>
                <c:pt idx="511">
                  <c:v>113.5</c:v>
                </c:pt>
                <c:pt idx="512">
                  <c:v>117.9</c:v>
                </c:pt>
                <c:pt idx="513">
                  <c:v>122.8</c:v>
                </c:pt>
                <c:pt idx="514">
                  <c:v>128.19999999999999</c:v>
                </c:pt>
                <c:pt idx="515">
                  <c:v>134.4</c:v>
                </c:pt>
                <c:pt idx="516">
                  <c:v>139.9</c:v>
                </c:pt>
                <c:pt idx="517">
                  <c:v>145.30000000000001</c:v>
                </c:pt>
                <c:pt idx="518">
                  <c:v>151.5</c:v>
                </c:pt>
                <c:pt idx="519">
                  <c:v>158.4</c:v>
                </c:pt>
                <c:pt idx="520">
                  <c:v>166.3</c:v>
                </c:pt>
                <c:pt idx="521">
                  <c:v>174.1</c:v>
                </c:pt>
                <c:pt idx="522">
                  <c:v>179.5</c:v>
                </c:pt>
                <c:pt idx="523">
                  <c:v>186.2</c:v>
                </c:pt>
                <c:pt idx="524">
                  <c:v>193.7</c:v>
                </c:pt>
                <c:pt idx="525">
                  <c:v>202.1</c:v>
                </c:pt>
                <c:pt idx="526">
                  <c:v>213</c:v>
                </c:pt>
                <c:pt idx="527">
                  <c:v>215.4</c:v>
                </c:pt>
                <c:pt idx="528">
                  <c:v>220.8</c:v>
                </c:pt>
                <c:pt idx="529">
                  <c:v>226.9</c:v>
                </c:pt>
                <c:pt idx="530">
                  <c:v>233.4</c:v>
                </c:pt>
                <c:pt idx="531">
                  <c:v>240.7</c:v>
                </c:pt>
                <c:pt idx="532">
                  <c:v>243.5</c:v>
                </c:pt>
                <c:pt idx="533">
                  <c:v>246.2</c:v>
                </c:pt>
                <c:pt idx="534">
                  <c:v>249.4</c:v>
                </c:pt>
                <c:pt idx="535">
                  <c:v>252.6</c:v>
                </c:pt>
                <c:pt idx="536">
                  <c:v>255.5</c:v>
                </c:pt>
                <c:pt idx="537">
                  <c:v>257.7</c:v>
                </c:pt>
                <c:pt idx="538">
                  <c:v>258.39999999999998</c:v>
                </c:pt>
                <c:pt idx="539">
                  <c:v>259.5</c:v>
                </c:pt>
                <c:pt idx="540">
                  <c:v>260.60000000000002</c:v>
                </c:pt>
                <c:pt idx="541">
                  <c:v>261.5</c:v>
                </c:pt>
                <c:pt idx="542">
                  <c:v>262.2</c:v>
                </c:pt>
                <c:pt idx="543">
                  <c:v>262.60000000000002</c:v>
                </c:pt>
                <c:pt idx="544">
                  <c:v>263.10000000000002</c:v>
                </c:pt>
                <c:pt idx="545">
                  <c:v>263.39999999999998</c:v>
                </c:pt>
                <c:pt idx="546">
                  <c:v>263.8</c:v>
                </c:pt>
                <c:pt idx="547">
                  <c:v>264.10000000000002</c:v>
                </c:pt>
                <c:pt idx="548">
                  <c:v>264.3</c:v>
                </c:pt>
                <c:pt idx="549">
                  <c:v>264.60000000000002</c:v>
                </c:pt>
                <c:pt idx="550">
                  <c:v>264.8</c:v>
                </c:pt>
                <c:pt idx="551">
                  <c:v>265</c:v>
                </c:pt>
                <c:pt idx="552">
                  <c:v>265.10000000000002</c:v>
                </c:pt>
                <c:pt idx="553">
                  <c:v>265.3</c:v>
                </c:pt>
                <c:pt idx="554">
                  <c:v>265.39999999999998</c:v>
                </c:pt>
                <c:pt idx="555">
                  <c:v>265.60000000000002</c:v>
                </c:pt>
                <c:pt idx="556">
                  <c:v>265.7</c:v>
                </c:pt>
                <c:pt idx="557">
                  <c:v>265.8</c:v>
                </c:pt>
                <c:pt idx="558">
                  <c:v>265.89999999999998</c:v>
                </c:pt>
                <c:pt idx="559">
                  <c:v>266</c:v>
                </c:pt>
                <c:pt idx="560">
                  <c:v>266</c:v>
                </c:pt>
                <c:pt idx="561">
                  <c:v>266.10000000000002</c:v>
                </c:pt>
                <c:pt idx="562">
                  <c:v>266.2</c:v>
                </c:pt>
                <c:pt idx="563">
                  <c:v>266.2</c:v>
                </c:pt>
                <c:pt idx="564">
                  <c:v>266.3</c:v>
                </c:pt>
                <c:pt idx="565">
                  <c:v>266.3</c:v>
                </c:pt>
                <c:pt idx="566">
                  <c:v>266.39999999999998</c:v>
                </c:pt>
                <c:pt idx="567">
                  <c:v>266.39999999999998</c:v>
                </c:pt>
                <c:pt idx="568">
                  <c:v>266.5</c:v>
                </c:pt>
                <c:pt idx="569">
                  <c:v>266.5</c:v>
                </c:pt>
                <c:pt idx="570">
                  <c:v>266.60000000000002</c:v>
                </c:pt>
                <c:pt idx="571">
                  <c:v>266.60000000000002</c:v>
                </c:pt>
                <c:pt idx="572">
                  <c:v>266.60000000000002</c:v>
                </c:pt>
                <c:pt idx="573">
                  <c:v>266.60000000000002</c:v>
                </c:pt>
                <c:pt idx="574">
                  <c:v>266.7</c:v>
                </c:pt>
                <c:pt idx="575">
                  <c:v>266.7</c:v>
                </c:pt>
                <c:pt idx="576">
                  <c:v>266.7</c:v>
                </c:pt>
                <c:pt idx="577">
                  <c:v>266.7</c:v>
                </c:pt>
                <c:pt idx="578">
                  <c:v>266.8</c:v>
                </c:pt>
                <c:pt idx="579">
                  <c:v>266.8</c:v>
                </c:pt>
                <c:pt idx="580">
                  <c:v>266.8</c:v>
                </c:pt>
                <c:pt idx="581">
                  <c:v>266.8</c:v>
                </c:pt>
                <c:pt idx="582">
                  <c:v>266.8</c:v>
                </c:pt>
                <c:pt idx="583">
                  <c:v>266.8</c:v>
                </c:pt>
                <c:pt idx="584">
                  <c:v>266.8</c:v>
                </c:pt>
                <c:pt idx="585">
                  <c:v>266.8</c:v>
                </c:pt>
                <c:pt idx="586">
                  <c:v>266.89999999999998</c:v>
                </c:pt>
                <c:pt idx="587">
                  <c:v>266.89999999999998</c:v>
                </c:pt>
                <c:pt idx="588">
                  <c:v>266.89999999999998</c:v>
                </c:pt>
                <c:pt idx="589">
                  <c:v>266.89999999999998</c:v>
                </c:pt>
                <c:pt idx="590">
                  <c:v>266.89999999999998</c:v>
                </c:pt>
                <c:pt idx="591">
                  <c:v>266.89999999999998</c:v>
                </c:pt>
                <c:pt idx="592">
                  <c:v>266.89999999999998</c:v>
                </c:pt>
                <c:pt idx="593">
                  <c:v>266.89999999999998</c:v>
                </c:pt>
                <c:pt idx="594">
                  <c:v>266.89999999999998</c:v>
                </c:pt>
                <c:pt idx="595">
                  <c:v>266.89999999999998</c:v>
                </c:pt>
                <c:pt idx="596">
                  <c:v>266.89999999999998</c:v>
                </c:pt>
                <c:pt idx="597">
                  <c:v>266.89999999999998</c:v>
                </c:pt>
                <c:pt idx="598">
                  <c:v>266.89999999999998</c:v>
                </c:pt>
                <c:pt idx="599">
                  <c:v>266.89999999999998</c:v>
                </c:pt>
                <c:pt idx="600">
                  <c:v>266.89999999999998</c:v>
                </c:pt>
                <c:pt idx="601">
                  <c:v>266.89999999999998</c:v>
                </c:pt>
                <c:pt idx="602">
                  <c:v>266.89999999999998</c:v>
                </c:pt>
                <c:pt idx="603">
                  <c:v>266.89999999999998</c:v>
                </c:pt>
                <c:pt idx="604">
                  <c:v>266.89999999999998</c:v>
                </c:pt>
                <c:pt idx="605">
                  <c:v>266.8</c:v>
                </c:pt>
                <c:pt idx="606">
                  <c:v>266.8</c:v>
                </c:pt>
                <c:pt idx="607">
                  <c:v>266.8</c:v>
                </c:pt>
                <c:pt idx="608">
                  <c:v>266.8</c:v>
                </c:pt>
                <c:pt idx="609">
                  <c:v>266.8</c:v>
                </c:pt>
                <c:pt idx="610">
                  <c:v>266.7</c:v>
                </c:pt>
                <c:pt idx="611">
                  <c:v>266.7</c:v>
                </c:pt>
                <c:pt idx="612">
                  <c:v>266.7</c:v>
                </c:pt>
                <c:pt idx="613">
                  <c:v>266.60000000000002</c:v>
                </c:pt>
                <c:pt idx="614">
                  <c:v>266.60000000000002</c:v>
                </c:pt>
                <c:pt idx="615">
                  <c:v>266.5</c:v>
                </c:pt>
                <c:pt idx="616">
                  <c:v>266.5</c:v>
                </c:pt>
                <c:pt idx="617">
                  <c:v>266.39999999999998</c:v>
                </c:pt>
                <c:pt idx="618">
                  <c:v>266.3</c:v>
                </c:pt>
                <c:pt idx="619">
                  <c:v>266.2</c:v>
                </c:pt>
                <c:pt idx="620">
                  <c:v>266.10000000000002</c:v>
                </c:pt>
                <c:pt idx="621">
                  <c:v>266</c:v>
                </c:pt>
                <c:pt idx="622">
                  <c:v>265.89999999999998</c:v>
                </c:pt>
                <c:pt idx="623">
                  <c:v>265.8</c:v>
                </c:pt>
                <c:pt idx="624">
                  <c:v>265.60000000000002</c:v>
                </c:pt>
                <c:pt idx="625">
                  <c:v>265.39999999999998</c:v>
                </c:pt>
                <c:pt idx="626">
                  <c:v>265.3</c:v>
                </c:pt>
                <c:pt idx="627">
                  <c:v>265.10000000000002</c:v>
                </c:pt>
                <c:pt idx="628">
                  <c:v>264.8</c:v>
                </c:pt>
                <c:pt idx="629">
                  <c:v>264.60000000000002</c:v>
                </c:pt>
                <c:pt idx="630">
                  <c:v>264.3</c:v>
                </c:pt>
                <c:pt idx="631">
                  <c:v>264</c:v>
                </c:pt>
                <c:pt idx="632">
                  <c:v>263.7</c:v>
                </c:pt>
                <c:pt idx="633">
                  <c:v>263.3</c:v>
                </c:pt>
                <c:pt idx="634">
                  <c:v>262.8</c:v>
                </c:pt>
                <c:pt idx="635">
                  <c:v>262.3</c:v>
                </c:pt>
                <c:pt idx="636">
                  <c:v>261.7</c:v>
                </c:pt>
                <c:pt idx="637">
                  <c:v>261.2</c:v>
                </c:pt>
                <c:pt idx="638">
                  <c:v>260</c:v>
                </c:pt>
                <c:pt idx="639">
                  <c:v>258.5</c:v>
                </c:pt>
                <c:pt idx="640">
                  <c:v>256.89999999999998</c:v>
                </c:pt>
                <c:pt idx="641">
                  <c:v>255.3</c:v>
                </c:pt>
                <c:pt idx="642">
                  <c:v>254.3</c:v>
                </c:pt>
                <c:pt idx="643">
                  <c:v>251</c:v>
                </c:pt>
                <c:pt idx="644">
                  <c:v>246.9</c:v>
                </c:pt>
                <c:pt idx="645">
                  <c:v>242.8</c:v>
                </c:pt>
                <c:pt idx="646">
                  <c:v>238.8</c:v>
                </c:pt>
                <c:pt idx="647">
                  <c:v>235.4</c:v>
                </c:pt>
                <c:pt idx="648">
                  <c:v>231.4</c:v>
                </c:pt>
                <c:pt idx="649">
                  <c:v>223.9</c:v>
                </c:pt>
                <c:pt idx="650">
                  <c:v>217.3</c:v>
                </c:pt>
                <c:pt idx="651">
                  <c:v>211.1</c:v>
                </c:pt>
                <c:pt idx="652">
                  <c:v>205.5</c:v>
                </c:pt>
                <c:pt idx="653">
                  <c:v>202.3</c:v>
                </c:pt>
                <c:pt idx="654">
                  <c:v>192.8</c:v>
                </c:pt>
                <c:pt idx="655">
                  <c:v>185.4</c:v>
                </c:pt>
                <c:pt idx="656">
                  <c:v>178.7</c:v>
                </c:pt>
                <c:pt idx="657">
                  <c:v>172.6</c:v>
                </c:pt>
                <c:pt idx="658">
                  <c:v>167.5</c:v>
                </c:pt>
                <c:pt idx="659">
                  <c:v>161.1</c:v>
                </c:pt>
                <c:pt idx="660">
                  <c:v>154.6</c:v>
                </c:pt>
                <c:pt idx="661">
                  <c:v>148.80000000000001</c:v>
                </c:pt>
                <c:pt idx="662">
                  <c:v>143.6</c:v>
                </c:pt>
                <c:pt idx="663">
                  <c:v>138.9</c:v>
                </c:pt>
                <c:pt idx="664">
                  <c:v>134.30000000000001</c:v>
                </c:pt>
                <c:pt idx="665">
                  <c:v>129.4</c:v>
                </c:pt>
                <c:pt idx="666">
                  <c:v>124.9</c:v>
                </c:pt>
                <c:pt idx="667">
                  <c:v>120.8</c:v>
                </c:pt>
                <c:pt idx="668">
                  <c:v>117.1</c:v>
                </c:pt>
                <c:pt idx="669">
                  <c:v>113.8</c:v>
                </c:pt>
                <c:pt idx="670">
                  <c:v>110.1</c:v>
                </c:pt>
                <c:pt idx="671">
                  <c:v>106.7</c:v>
                </c:pt>
                <c:pt idx="672">
                  <c:v>103.7</c:v>
                </c:pt>
                <c:pt idx="673">
                  <c:v>100.8</c:v>
                </c:pt>
                <c:pt idx="674">
                  <c:v>98.1</c:v>
                </c:pt>
                <c:pt idx="675">
                  <c:v>95.5</c:v>
                </c:pt>
                <c:pt idx="676">
                  <c:v>93</c:v>
                </c:pt>
                <c:pt idx="677">
                  <c:v>90.7</c:v>
                </c:pt>
                <c:pt idx="678">
                  <c:v>88.4</c:v>
                </c:pt>
                <c:pt idx="679">
                  <c:v>86.3</c:v>
                </c:pt>
                <c:pt idx="680">
                  <c:v>84.3</c:v>
                </c:pt>
                <c:pt idx="681">
                  <c:v>82.4</c:v>
                </c:pt>
                <c:pt idx="682">
                  <c:v>80.5</c:v>
                </c:pt>
                <c:pt idx="683">
                  <c:v>78.8</c:v>
                </c:pt>
                <c:pt idx="684">
                  <c:v>77.099999999999994</c:v>
                </c:pt>
                <c:pt idx="685">
                  <c:v>75.5</c:v>
                </c:pt>
                <c:pt idx="686">
                  <c:v>73.900000000000006</c:v>
                </c:pt>
                <c:pt idx="687">
                  <c:v>72.5</c:v>
                </c:pt>
                <c:pt idx="688">
                  <c:v>71</c:v>
                </c:pt>
                <c:pt idx="689">
                  <c:v>69.7</c:v>
                </c:pt>
                <c:pt idx="690">
                  <c:v>68.3</c:v>
                </c:pt>
                <c:pt idx="691">
                  <c:v>67.099999999999994</c:v>
                </c:pt>
                <c:pt idx="692">
                  <c:v>65.8</c:v>
                </c:pt>
                <c:pt idx="693">
                  <c:v>64.599999999999994</c:v>
                </c:pt>
                <c:pt idx="694">
                  <c:v>63.5</c:v>
                </c:pt>
                <c:pt idx="695">
                  <c:v>62.4</c:v>
                </c:pt>
                <c:pt idx="696">
                  <c:v>61.3</c:v>
                </c:pt>
                <c:pt idx="697">
                  <c:v>60.2</c:v>
                </c:pt>
                <c:pt idx="698">
                  <c:v>59.2</c:v>
                </c:pt>
                <c:pt idx="699">
                  <c:v>58.2</c:v>
                </c:pt>
                <c:pt idx="700">
                  <c:v>57.3</c:v>
                </c:pt>
                <c:pt idx="701">
                  <c:v>56.4</c:v>
                </c:pt>
                <c:pt idx="702">
                  <c:v>55.5</c:v>
                </c:pt>
                <c:pt idx="703">
                  <c:v>54.6</c:v>
                </c:pt>
                <c:pt idx="704">
                  <c:v>53.7</c:v>
                </c:pt>
                <c:pt idx="705">
                  <c:v>52.9</c:v>
                </c:pt>
                <c:pt idx="706">
                  <c:v>52.1</c:v>
                </c:pt>
                <c:pt idx="707">
                  <c:v>51.3</c:v>
                </c:pt>
                <c:pt idx="708">
                  <c:v>50.6</c:v>
                </c:pt>
                <c:pt idx="709">
                  <c:v>49.8</c:v>
                </c:pt>
                <c:pt idx="710">
                  <c:v>49.1</c:v>
                </c:pt>
                <c:pt idx="711">
                  <c:v>48.4</c:v>
                </c:pt>
                <c:pt idx="712">
                  <c:v>47.8</c:v>
                </c:pt>
                <c:pt idx="713">
                  <c:v>47.1</c:v>
                </c:pt>
                <c:pt idx="714">
                  <c:v>46.4</c:v>
                </c:pt>
                <c:pt idx="715">
                  <c:v>45.8</c:v>
                </c:pt>
                <c:pt idx="716">
                  <c:v>45.2</c:v>
                </c:pt>
                <c:pt idx="717">
                  <c:v>44.6</c:v>
                </c:pt>
                <c:pt idx="718">
                  <c:v>44</c:v>
                </c:pt>
                <c:pt idx="719">
                  <c:v>43.4</c:v>
                </c:pt>
                <c:pt idx="720">
                  <c:v>42.9</c:v>
                </c:pt>
                <c:pt idx="721">
                  <c:v>42.3</c:v>
                </c:pt>
                <c:pt idx="722">
                  <c:v>41.8</c:v>
                </c:pt>
                <c:pt idx="723">
                  <c:v>41.3</c:v>
                </c:pt>
                <c:pt idx="724">
                  <c:v>40.799999999999997</c:v>
                </c:pt>
                <c:pt idx="725">
                  <c:v>40.299999999999997</c:v>
                </c:pt>
                <c:pt idx="726">
                  <c:v>39.799999999999997</c:v>
                </c:pt>
                <c:pt idx="727">
                  <c:v>39.4</c:v>
                </c:pt>
                <c:pt idx="728">
                  <c:v>38.9</c:v>
                </c:pt>
                <c:pt idx="729">
                  <c:v>38.4</c:v>
                </c:pt>
                <c:pt idx="730">
                  <c:v>38</c:v>
                </c:pt>
                <c:pt idx="731">
                  <c:v>37.6</c:v>
                </c:pt>
                <c:pt idx="732">
                  <c:v>37.200000000000003</c:v>
                </c:pt>
                <c:pt idx="733">
                  <c:v>36.700000000000003</c:v>
                </c:pt>
                <c:pt idx="734">
                  <c:v>36.299999999999997</c:v>
                </c:pt>
                <c:pt idx="735">
                  <c:v>35.9</c:v>
                </c:pt>
                <c:pt idx="736">
                  <c:v>35.6</c:v>
                </c:pt>
                <c:pt idx="737">
                  <c:v>35.200000000000003</c:v>
                </c:pt>
                <c:pt idx="738">
                  <c:v>34.799999999999997</c:v>
                </c:pt>
                <c:pt idx="739">
                  <c:v>34.4</c:v>
                </c:pt>
                <c:pt idx="740">
                  <c:v>34.1</c:v>
                </c:pt>
                <c:pt idx="741">
                  <c:v>33.700000000000003</c:v>
                </c:pt>
                <c:pt idx="742">
                  <c:v>33.4</c:v>
                </c:pt>
                <c:pt idx="743">
                  <c:v>33.1</c:v>
                </c:pt>
                <c:pt idx="744">
                  <c:v>32.700000000000003</c:v>
                </c:pt>
                <c:pt idx="745">
                  <c:v>32.4</c:v>
                </c:pt>
                <c:pt idx="746">
                  <c:v>32.1</c:v>
                </c:pt>
                <c:pt idx="747">
                  <c:v>31.8</c:v>
                </c:pt>
                <c:pt idx="748">
                  <c:v>31.5</c:v>
                </c:pt>
                <c:pt idx="749">
                  <c:v>31.2</c:v>
                </c:pt>
                <c:pt idx="750">
                  <c:v>30.9</c:v>
                </c:pt>
                <c:pt idx="751">
                  <c:v>30.6</c:v>
                </c:pt>
                <c:pt idx="752">
                  <c:v>30.4</c:v>
                </c:pt>
                <c:pt idx="753">
                  <c:v>30.1</c:v>
                </c:pt>
                <c:pt idx="754">
                  <c:v>29.8</c:v>
                </c:pt>
                <c:pt idx="755">
                  <c:v>29.6</c:v>
                </c:pt>
                <c:pt idx="756">
                  <c:v>29.3</c:v>
                </c:pt>
                <c:pt idx="757">
                  <c:v>29</c:v>
                </c:pt>
                <c:pt idx="758">
                  <c:v>28.8</c:v>
                </c:pt>
                <c:pt idx="759">
                  <c:v>28.6</c:v>
                </c:pt>
                <c:pt idx="760">
                  <c:v>28.3</c:v>
                </c:pt>
                <c:pt idx="761">
                  <c:v>28.1</c:v>
                </c:pt>
                <c:pt idx="762">
                  <c:v>27.8</c:v>
                </c:pt>
                <c:pt idx="763">
                  <c:v>27.6</c:v>
                </c:pt>
                <c:pt idx="764">
                  <c:v>27.4</c:v>
                </c:pt>
                <c:pt idx="765">
                  <c:v>27.2</c:v>
                </c:pt>
                <c:pt idx="766">
                  <c:v>27</c:v>
                </c:pt>
                <c:pt idx="767">
                  <c:v>26.8</c:v>
                </c:pt>
                <c:pt idx="768">
                  <c:v>26.5</c:v>
                </c:pt>
                <c:pt idx="769">
                  <c:v>26.3</c:v>
                </c:pt>
                <c:pt idx="770">
                  <c:v>26.1</c:v>
                </c:pt>
                <c:pt idx="771">
                  <c:v>25.9</c:v>
                </c:pt>
                <c:pt idx="772">
                  <c:v>25.8</c:v>
                </c:pt>
                <c:pt idx="773">
                  <c:v>25.6</c:v>
                </c:pt>
                <c:pt idx="774">
                  <c:v>25.4</c:v>
                </c:pt>
                <c:pt idx="775">
                  <c:v>25.2</c:v>
                </c:pt>
                <c:pt idx="776">
                  <c:v>25</c:v>
                </c:pt>
                <c:pt idx="777">
                  <c:v>24.8</c:v>
                </c:pt>
                <c:pt idx="778">
                  <c:v>24.7</c:v>
                </c:pt>
                <c:pt idx="779">
                  <c:v>24.5</c:v>
                </c:pt>
                <c:pt idx="780">
                  <c:v>24.3</c:v>
                </c:pt>
                <c:pt idx="781">
                  <c:v>24.2</c:v>
                </c:pt>
                <c:pt idx="782">
                  <c:v>24</c:v>
                </c:pt>
                <c:pt idx="783">
                  <c:v>23.8</c:v>
                </c:pt>
                <c:pt idx="784">
                  <c:v>23.7</c:v>
                </c:pt>
                <c:pt idx="785">
                  <c:v>23.5</c:v>
                </c:pt>
                <c:pt idx="786">
                  <c:v>23.4</c:v>
                </c:pt>
                <c:pt idx="787">
                  <c:v>23.2</c:v>
                </c:pt>
                <c:pt idx="788">
                  <c:v>23.1</c:v>
                </c:pt>
                <c:pt idx="789">
                  <c:v>22.9</c:v>
                </c:pt>
                <c:pt idx="790">
                  <c:v>22.8</c:v>
                </c:pt>
                <c:pt idx="791">
                  <c:v>22.6</c:v>
                </c:pt>
                <c:pt idx="792">
                  <c:v>22.5</c:v>
                </c:pt>
                <c:pt idx="793">
                  <c:v>22.4</c:v>
                </c:pt>
                <c:pt idx="794">
                  <c:v>22.2</c:v>
                </c:pt>
                <c:pt idx="795">
                  <c:v>22.1</c:v>
                </c:pt>
                <c:pt idx="796">
                  <c:v>22</c:v>
                </c:pt>
                <c:pt idx="797">
                  <c:v>21.8</c:v>
                </c:pt>
                <c:pt idx="798">
                  <c:v>21.7</c:v>
                </c:pt>
                <c:pt idx="799">
                  <c:v>21.6</c:v>
                </c:pt>
                <c:pt idx="800">
                  <c:v>21.5</c:v>
                </c:pt>
                <c:pt idx="801">
                  <c:v>21.3</c:v>
                </c:pt>
                <c:pt idx="802">
                  <c:v>21.2</c:v>
                </c:pt>
                <c:pt idx="803">
                  <c:v>21.1</c:v>
                </c:pt>
                <c:pt idx="804">
                  <c:v>21</c:v>
                </c:pt>
                <c:pt idx="805">
                  <c:v>20.9</c:v>
                </c:pt>
                <c:pt idx="806">
                  <c:v>20.8</c:v>
                </c:pt>
                <c:pt idx="807">
                  <c:v>20.7</c:v>
                </c:pt>
                <c:pt idx="808">
                  <c:v>20.5</c:v>
                </c:pt>
                <c:pt idx="809">
                  <c:v>20.399999999999999</c:v>
                </c:pt>
                <c:pt idx="810">
                  <c:v>20.3</c:v>
                </c:pt>
                <c:pt idx="811">
                  <c:v>20.2</c:v>
                </c:pt>
                <c:pt idx="812">
                  <c:v>20.100000000000001</c:v>
                </c:pt>
                <c:pt idx="813">
                  <c:v>20</c:v>
                </c:pt>
                <c:pt idx="814">
                  <c:v>19.899999999999999</c:v>
                </c:pt>
                <c:pt idx="815">
                  <c:v>19.8</c:v>
                </c:pt>
                <c:pt idx="816">
                  <c:v>19.7</c:v>
                </c:pt>
                <c:pt idx="817">
                  <c:v>19.600000000000001</c:v>
                </c:pt>
                <c:pt idx="818">
                  <c:v>19.5</c:v>
                </c:pt>
                <c:pt idx="819">
                  <c:v>19.5</c:v>
                </c:pt>
                <c:pt idx="820">
                  <c:v>19.399999999999999</c:v>
                </c:pt>
                <c:pt idx="821">
                  <c:v>19.3</c:v>
                </c:pt>
                <c:pt idx="822">
                  <c:v>19.2</c:v>
                </c:pt>
                <c:pt idx="823">
                  <c:v>19.100000000000001</c:v>
                </c:pt>
                <c:pt idx="824">
                  <c:v>19</c:v>
                </c:pt>
                <c:pt idx="825">
                  <c:v>18.899999999999999</c:v>
                </c:pt>
                <c:pt idx="826">
                  <c:v>18.8</c:v>
                </c:pt>
                <c:pt idx="827">
                  <c:v>18.8</c:v>
                </c:pt>
                <c:pt idx="828">
                  <c:v>18.7</c:v>
                </c:pt>
                <c:pt idx="829">
                  <c:v>18.600000000000001</c:v>
                </c:pt>
                <c:pt idx="830">
                  <c:v>18.5</c:v>
                </c:pt>
                <c:pt idx="831">
                  <c:v>18.5</c:v>
                </c:pt>
                <c:pt idx="832">
                  <c:v>18.399999999999999</c:v>
                </c:pt>
                <c:pt idx="833">
                  <c:v>18.3</c:v>
                </c:pt>
                <c:pt idx="834">
                  <c:v>18.2</c:v>
                </c:pt>
                <c:pt idx="835">
                  <c:v>18.2</c:v>
                </c:pt>
                <c:pt idx="836">
                  <c:v>18.100000000000001</c:v>
                </c:pt>
                <c:pt idx="837">
                  <c:v>18</c:v>
                </c:pt>
                <c:pt idx="838">
                  <c:v>17.899999999999999</c:v>
                </c:pt>
                <c:pt idx="839">
                  <c:v>17.899999999999999</c:v>
                </c:pt>
                <c:pt idx="840">
                  <c:v>17.8</c:v>
                </c:pt>
                <c:pt idx="841">
                  <c:v>17.7</c:v>
                </c:pt>
                <c:pt idx="842">
                  <c:v>17.7</c:v>
                </c:pt>
                <c:pt idx="843">
                  <c:v>17.600000000000001</c:v>
                </c:pt>
                <c:pt idx="844">
                  <c:v>17.5</c:v>
                </c:pt>
                <c:pt idx="845">
                  <c:v>17.5</c:v>
                </c:pt>
                <c:pt idx="846">
                  <c:v>17.399999999999999</c:v>
                </c:pt>
                <c:pt idx="847">
                  <c:v>17.399999999999999</c:v>
                </c:pt>
                <c:pt idx="848">
                  <c:v>17.3</c:v>
                </c:pt>
                <c:pt idx="849">
                  <c:v>17.2</c:v>
                </c:pt>
                <c:pt idx="850">
                  <c:v>17.2</c:v>
                </c:pt>
                <c:pt idx="851">
                  <c:v>17.100000000000001</c:v>
                </c:pt>
                <c:pt idx="852">
                  <c:v>17.100000000000001</c:v>
                </c:pt>
                <c:pt idx="853">
                  <c:v>17</c:v>
                </c:pt>
                <c:pt idx="854">
                  <c:v>17</c:v>
                </c:pt>
                <c:pt idx="855">
                  <c:v>16.899999999999999</c:v>
                </c:pt>
                <c:pt idx="856">
                  <c:v>16.8</c:v>
                </c:pt>
                <c:pt idx="857">
                  <c:v>16.8</c:v>
                </c:pt>
                <c:pt idx="858">
                  <c:v>16.7</c:v>
                </c:pt>
                <c:pt idx="859">
                  <c:v>16.7</c:v>
                </c:pt>
                <c:pt idx="860">
                  <c:v>16.600000000000001</c:v>
                </c:pt>
                <c:pt idx="861">
                  <c:v>16.600000000000001</c:v>
                </c:pt>
                <c:pt idx="862">
                  <c:v>16.5</c:v>
                </c:pt>
                <c:pt idx="863">
                  <c:v>16.5</c:v>
                </c:pt>
                <c:pt idx="864">
                  <c:v>16.399999999999999</c:v>
                </c:pt>
                <c:pt idx="865">
                  <c:v>16.399999999999999</c:v>
                </c:pt>
                <c:pt idx="866">
                  <c:v>16.399999999999999</c:v>
                </c:pt>
                <c:pt idx="867">
                  <c:v>16.3</c:v>
                </c:pt>
                <c:pt idx="868">
                  <c:v>16.3</c:v>
                </c:pt>
                <c:pt idx="869">
                  <c:v>16.2</c:v>
                </c:pt>
                <c:pt idx="870">
                  <c:v>16.2</c:v>
                </c:pt>
                <c:pt idx="871">
                  <c:v>16.100000000000001</c:v>
                </c:pt>
                <c:pt idx="872">
                  <c:v>16.100000000000001</c:v>
                </c:pt>
                <c:pt idx="873">
                  <c:v>16</c:v>
                </c:pt>
                <c:pt idx="874">
                  <c:v>16</c:v>
                </c:pt>
                <c:pt idx="875">
                  <c:v>16</c:v>
                </c:pt>
                <c:pt idx="876">
                  <c:v>15.9</c:v>
                </c:pt>
                <c:pt idx="877">
                  <c:v>15.9</c:v>
                </c:pt>
                <c:pt idx="878">
                  <c:v>15.9</c:v>
                </c:pt>
                <c:pt idx="879">
                  <c:v>15.8</c:v>
                </c:pt>
                <c:pt idx="880">
                  <c:v>15.8</c:v>
                </c:pt>
                <c:pt idx="881">
                  <c:v>15.7</c:v>
                </c:pt>
                <c:pt idx="882">
                  <c:v>15.7</c:v>
                </c:pt>
                <c:pt idx="883">
                  <c:v>15.7</c:v>
                </c:pt>
                <c:pt idx="884">
                  <c:v>15.6</c:v>
                </c:pt>
                <c:pt idx="885">
                  <c:v>15.6</c:v>
                </c:pt>
                <c:pt idx="886">
                  <c:v>15.6</c:v>
                </c:pt>
                <c:pt idx="887">
                  <c:v>15.5</c:v>
                </c:pt>
                <c:pt idx="888">
                  <c:v>15.5</c:v>
                </c:pt>
                <c:pt idx="889">
                  <c:v>15.5</c:v>
                </c:pt>
                <c:pt idx="890">
                  <c:v>15.4</c:v>
                </c:pt>
                <c:pt idx="891">
                  <c:v>15.4</c:v>
                </c:pt>
                <c:pt idx="892">
                  <c:v>15.4</c:v>
                </c:pt>
                <c:pt idx="893">
                  <c:v>15.3</c:v>
                </c:pt>
                <c:pt idx="894">
                  <c:v>15.3</c:v>
                </c:pt>
                <c:pt idx="895">
                  <c:v>15.3</c:v>
                </c:pt>
                <c:pt idx="896">
                  <c:v>15.3</c:v>
                </c:pt>
                <c:pt idx="897">
                  <c:v>15.2</c:v>
                </c:pt>
                <c:pt idx="898">
                  <c:v>15.2</c:v>
                </c:pt>
                <c:pt idx="899">
                  <c:v>15.2</c:v>
                </c:pt>
                <c:pt idx="900">
                  <c:v>15.2</c:v>
                </c:pt>
                <c:pt idx="901">
                  <c:v>15.1</c:v>
                </c:pt>
                <c:pt idx="902">
                  <c:v>15.1</c:v>
                </c:pt>
                <c:pt idx="903">
                  <c:v>15.1</c:v>
                </c:pt>
                <c:pt idx="904">
                  <c:v>15.1</c:v>
                </c:pt>
                <c:pt idx="905">
                  <c:v>15</c:v>
                </c:pt>
                <c:pt idx="906">
                  <c:v>15</c:v>
                </c:pt>
                <c:pt idx="907">
                  <c:v>15</c:v>
                </c:pt>
                <c:pt idx="908">
                  <c:v>15</c:v>
                </c:pt>
                <c:pt idx="909">
                  <c:v>14.9</c:v>
                </c:pt>
                <c:pt idx="910">
                  <c:v>14.9</c:v>
                </c:pt>
                <c:pt idx="911">
                  <c:v>14.9</c:v>
                </c:pt>
                <c:pt idx="912">
                  <c:v>14.9</c:v>
                </c:pt>
                <c:pt idx="913">
                  <c:v>14.9</c:v>
                </c:pt>
                <c:pt idx="914">
                  <c:v>14.8</c:v>
                </c:pt>
                <c:pt idx="915">
                  <c:v>14.8</c:v>
                </c:pt>
                <c:pt idx="916">
                  <c:v>14.8</c:v>
                </c:pt>
                <c:pt idx="917">
                  <c:v>14.8</c:v>
                </c:pt>
                <c:pt idx="918">
                  <c:v>14.8</c:v>
                </c:pt>
                <c:pt idx="919">
                  <c:v>14.8</c:v>
                </c:pt>
                <c:pt idx="920">
                  <c:v>14.7</c:v>
                </c:pt>
                <c:pt idx="921">
                  <c:v>14.7</c:v>
                </c:pt>
                <c:pt idx="922">
                  <c:v>14.7</c:v>
                </c:pt>
                <c:pt idx="923">
                  <c:v>14.7</c:v>
                </c:pt>
                <c:pt idx="924">
                  <c:v>14.7</c:v>
                </c:pt>
                <c:pt idx="925">
                  <c:v>14.7</c:v>
                </c:pt>
                <c:pt idx="926">
                  <c:v>14.6</c:v>
                </c:pt>
                <c:pt idx="927">
                  <c:v>14.6</c:v>
                </c:pt>
                <c:pt idx="928">
                  <c:v>14.6</c:v>
                </c:pt>
                <c:pt idx="929">
                  <c:v>14.6</c:v>
                </c:pt>
                <c:pt idx="930">
                  <c:v>14.6</c:v>
                </c:pt>
                <c:pt idx="931">
                  <c:v>14.6</c:v>
                </c:pt>
                <c:pt idx="932">
                  <c:v>14.6</c:v>
                </c:pt>
                <c:pt idx="933">
                  <c:v>14.6</c:v>
                </c:pt>
                <c:pt idx="934">
                  <c:v>14.6</c:v>
                </c:pt>
                <c:pt idx="935">
                  <c:v>14.5</c:v>
                </c:pt>
                <c:pt idx="936">
                  <c:v>14.5</c:v>
                </c:pt>
                <c:pt idx="937">
                  <c:v>14.5</c:v>
                </c:pt>
                <c:pt idx="938">
                  <c:v>14.5</c:v>
                </c:pt>
                <c:pt idx="939">
                  <c:v>14.5</c:v>
                </c:pt>
                <c:pt idx="940">
                  <c:v>14.5</c:v>
                </c:pt>
                <c:pt idx="941">
                  <c:v>14.5</c:v>
                </c:pt>
                <c:pt idx="942">
                  <c:v>14.5</c:v>
                </c:pt>
                <c:pt idx="943">
                  <c:v>14.5</c:v>
                </c:pt>
                <c:pt idx="944">
                  <c:v>14.5</c:v>
                </c:pt>
                <c:pt idx="945">
                  <c:v>14.5</c:v>
                </c:pt>
                <c:pt idx="946">
                  <c:v>14.5</c:v>
                </c:pt>
                <c:pt idx="947">
                  <c:v>14.5</c:v>
                </c:pt>
                <c:pt idx="948">
                  <c:v>14.5</c:v>
                </c:pt>
                <c:pt idx="949">
                  <c:v>14.5</c:v>
                </c:pt>
                <c:pt idx="950">
                  <c:v>14.5</c:v>
                </c:pt>
                <c:pt idx="951">
                  <c:v>14.5</c:v>
                </c:pt>
                <c:pt idx="952">
                  <c:v>14.5</c:v>
                </c:pt>
                <c:pt idx="953">
                  <c:v>14.5</c:v>
                </c:pt>
                <c:pt idx="954">
                  <c:v>14.5</c:v>
                </c:pt>
                <c:pt idx="955">
                  <c:v>14.5</c:v>
                </c:pt>
                <c:pt idx="956">
                  <c:v>14.5</c:v>
                </c:pt>
                <c:pt idx="957">
                  <c:v>14.5</c:v>
                </c:pt>
                <c:pt idx="958">
                  <c:v>14.5</c:v>
                </c:pt>
                <c:pt idx="959">
                  <c:v>14.5</c:v>
                </c:pt>
                <c:pt idx="960">
                  <c:v>14.5</c:v>
                </c:pt>
                <c:pt idx="961">
                  <c:v>14.5</c:v>
                </c:pt>
                <c:pt idx="962">
                  <c:v>14.5</c:v>
                </c:pt>
                <c:pt idx="963">
                  <c:v>14.5</c:v>
                </c:pt>
                <c:pt idx="964">
                  <c:v>14.5</c:v>
                </c:pt>
                <c:pt idx="965">
                  <c:v>14.5</c:v>
                </c:pt>
                <c:pt idx="966">
                  <c:v>14.5</c:v>
                </c:pt>
                <c:pt idx="967">
                  <c:v>14.5</c:v>
                </c:pt>
                <c:pt idx="968">
                  <c:v>14.5</c:v>
                </c:pt>
                <c:pt idx="969">
                  <c:v>14.5</c:v>
                </c:pt>
                <c:pt idx="970">
                  <c:v>14.5</c:v>
                </c:pt>
                <c:pt idx="971">
                  <c:v>14.5</c:v>
                </c:pt>
                <c:pt idx="972">
                  <c:v>14.5</c:v>
                </c:pt>
                <c:pt idx="973">
                  <c:v>14.5</c:v>
                </c:pt>
                <c:pt idx="974">
                  <c:v>14.5</c:v>
                </c:pt>
                <c:pt idx="975">
                  <c:v>14.6</c:v>
                </c:pt>
                <c:pt idx="976">
                  <c:v>14.6</c:v>
                </c:pt>
                <c:pt idx="977">
                  <c:v>14.6</c:v>
                </c:pt>
                <c:pt idx="978">
                  <c:v>14.6</c:v>
                </c:pt>
                <c:pt idx="979">
                  <c:v>14.6</c:v>
                </c:pt>
                <c:pt idx="980">
                  <c:v>14.6</c:v>
                </c:pt>
                <c:pt idx="981">
                  <c:v>14.6</c:v>
                </c:pt>
                <c:pt idx="982">
                  <c:v>14.6</c:v>
                </c:pt>
                <c:pt idx="983">
                  <c:v>14.7</c:v>
                </c:pt>
                <c:pt idx="984">
                  <c:v>14.7</c:v>
                </c:pt>
                <c:pt idx="985">
                  <c:v>14.7</c:v>
                </c:pt>
                <c:pt idx="986">
                  <c:v>14.7</c:v>
                </c:pt>
                <c:pt idx="987">
                  <c:v>14.7</c:v>
                </c:pt>
                <c:pt idx="988">
                  <c:v>14.7</c:v>
                </c:pt>
                <c:pt idx="989">
                  <c:v>14.8</c:v>
                </c:pt>
                <c:pt idx="990">
                  <c:v>14.8</c:v>
                </c:pt>
                <c:pt idx="991">
                  <c:v>14.8</c:v>
                </c:pt>
                <c:pt idx="992">
                  <c:v>14.8</c:v>
                </c:pt>
                <c:pt idx="993">
                  <c:v>14.8</c:v>
                </c:pt>
                <c:pt idx="994">
                  <c:v>14.9</c:v>
                </c:pt>
                <c:pt idx="995">
                  <c:v>14.9</c:v>
                </c:pt>
                <c:pt idx="996">
                  <c:v>14.9</c:v>
                </c:pt>
                <c:pt idx="997">
                  <c:v>14.9</c:v>
                </c:pt>
                <c:pt idx="998">
                  <c:v>15</c:v>
                </c:pt>
                <c:pt idx="999">
                  <c:v>15</c:v>
                </c:pt>
                <c:pt idx="1000">
                  <c:v>15</c:v>
                </c:pt>
                <c:pt idx="1001">
                  <c:v>15</c:v>
                </c:pt>
                <c:pt idx="1002">
                  <c:v>15.1</c:v>
                </c:pt>
                <c:pt idx="1003">
                  <c:v>15.1</c:v>
                </c:pt>
                <c:pt idx="1004">
                  <c:v>15.1</c:v>
                </c:pt>
                <c:pt idx="1005">
                  <c:v>15.1</c:v>
                </c:pt>
                <c:pt idx="1006">
                  <c:v>15.2</c:v>
                </c:pt>
                <c:pt idx="1007">
                  <c:v>15.2</c:v>
                </c:pt>
                <c:pt idx="1008">
                  <c:v>15.2</c:v>
                </c:pt>
                <c:pt idx="1009">
                  <c:v>15.3</c:v>
                </c:pt>
                <c:pt idx="1010">
                  <c:v>15.3</c:v>
                </c:pt>
                <c:pt idx="1011">
                  <c:v>15.3</c:v>
                </c:pt>
                <c:pt idx="1012">
                  <c:v>15.4</c:v>
                </c:pt>
                <c:pt idx="1013">
                  <c:v>15.4</c:v>
                </c:pt>
                <c:pt idx="1014">
                  <c:v>15.5</c:v>
                </c:pt>
                <c:pt idx="1015">
                  <c:v>15.5</c:v>
                </c:pt>
                <c:pt idx="1016">
                  <c:v>15.5</c:v>
                </c:pt>
                <c:pt idx="1017">
                  <c:v>15.6</c:v>
                </c:pt>
                <c:pt idx="1018">
                  <c:v>15.6</c:v>
                </c:pt>
                <c:pt idx="1019">
                  <c:v>15.7</c:v>
                </c:pt>
                <c:pt idx="1020">
                  <c:v>15.7</c:v>
                </c:pt>
                <c:pt idx="1021">
                  <c:v>15.8</c:v>
                </c:pt>
                <c:pt idx="1022">
                  <c:v>15.8</c:v>
                </c:pt>
                <c:pt idx="1023">
                  <c:v>15.9</c:v>
                </c:pt>
                <c:pt idx="1024">
                  <c:v>15.9</c:v>
                </c:pt>
                <c:pt idx="1025">
                  <c:v>16</c:v>
                </c:pt>
                <c:pt idx="1026">
                  <c:v>16</c:v>
                </c:pt>
                <c:pt idx="1027">
                  <c:v>16.100000000000001</c:v>
                </c:pt>
                <c:pt idx="1028">
                  <c:v>16.100000000000001</c:v>
                </c:pt>
                <c:pt idx="1029">
                  <c:v>16.2</c:v>
                </c:pt>
                <c:pt idx="1030">
                  <c:v>16.2</c:v>
                </c:pt>
                <c:pt idx="1031">
                  <c:v>16.3</c:v>
                </c:pt>
                <c:pt idx="1032">
                  <c:v>16.3</c:v>
                </c:pt>
                <c:pt idx="1033">
                  <c:v>16.399999999999999</c:v>
                </c:pt>
                <c:pt idx="1034">
                  <c:v>16.5</c:v>
                </c:pt>
                <c:pt idx="1035">
                  <c:v>16.5</c:v>
                </c:pt>
                <c:pt idx="1036">
                  <c:v>16.600000000000001</c:v>
                </c:pt>
                <c:pt idx="1037">
                  <c:v>16.7</c:v>
                </c:pt>
                <c:pt idx="1038">
                  <c:v>16.7</c:v>
                </c:pt>
                <c:pt idx="1039">
                  <c:v>16.8</c:v>
                </c:pt>
                <c:pt idx="1040">
                  <c:v>16.899999999999999</c:v>
                </c:pt>
                <c:pt idx="1041">
                  <c:v>17</c:v>
                </c:pt>
                <c:pt idx="1042">
                  <c:v>17</c:v>
                </c:pt>
                <c:pt idx="1043">
                  <c:v>17.100000000000001</c:v>
                </c:pt>
                <c:pt idx="1044">
                  <c:v>17.2</c:v>
                </c:pt>
                <c:pt idx="1045">
                  <c:v>17.3</c:v>
                </c:pt>
                <c:pt idx="1046">
                  <c:v>17.399999999999999</c:v>
                </c:pt>
                <c:pt idx="1047">
                  <c:v>17.5</c:v>
                </c:pt>
                <c:pt idx="1048">
                  <c:v>17.600000000000001</c:v>
                </c:pt>
                <c:pt idx="1049">
                  <c:v>17.600000000000001</c:v>
                </c:pt>
                <c:pt idx="1050">
                  <c:v>17.7</c:v>
                </c:pt>
                <c:pt idx="1051">
                  <c:v>17.8</c:v>
                </c:pt>
                <c:pt idx="1052">
                  <c:v>17.899999999999999</c:v>
                </c:pt>
                <c:pt idx="1053">
                  <c:v>18</c:v>
                </c:pt>
                <c:pt idx="1054">
                  <c:v>18.100000000000001</c:v>
                </c:pt>
                <c:pt idx="1055">
                  <c:v>18.2</c:v>
                </c:pt>
                <c:pt idx="1056">
                  <c:v>18.399999999999999</c:v>
                </c:pt>
                <c:pt idx="1057">
                  <c:v>18.5</c:v>
                </c:pt>
                <c:pt idx="1058">
                  <c:v>18.600000000000001</c:v>
                </c:pt>
                <c:pt idx="1059">
                  <c:v>18.7</c:v>
                </c:pt>
                <c:pt idx="1060">
                  <c:v>18.8</c:v>
                </c:pt>
                <c:pt idx="1061">
                  <c:v>19</c:v>
                </c:pt>
                <c:pt idx="1062">
                  <c:v>19.100000000000001</c:v>
                </c:pt>
                <c:pt idx="1063">
                  <c:v>19.2</c:v>
                </c:pt>
                <c:pt idx="1064">
                  <c:v>19.399999999999999</c:v>
                </c:pt>
                <c:pt idx="1065">
                  <c:v>19.5</c:v>
                </c:pt>
                <c:pt idx="1066">
                  <c:v>19.600000000000001</c:v>
                </c:pt>
                <c:pt idx="1067">
                  <c:v>19.8</c:v>
                </c:pt>
                <c:pt idx="1068">
                  <c:v>19.899999999999999</c:v>
                </c:pt>
                <c:pt idx="1069">
                  <c:v>20.100000000000001</c:v>
                </c:pt>
                <c:pt idx="1070">
                  <c:v>20.3</c:v>
                </c:pt>
                <c:pt idx="1071">
                  <c:v>20.399999999999999</c:v>
                </c:pt>
                <c:pt idx="1072">
                  <c:v>20.6</c:v>
                </c:pt>
                <c:pt idx="1073">
                  <c:v>20.8</c:v>
                </c:pt>
                <c:pt idx="1074">
                  <c:v>21</c:v>
                </c:pt>
                <c:pt idx="1075">
                  <c:v>21.1</c:v>
                </c:pt>
                <c:pt idx="1076">
                  <c:v>21.3</c:v>
                </c:pt>
                <c:pt idx="1077">
                  <c:v>21.5</c:v>
                </c:pt>
                <c:pt idx="1078">
                  <c:v>21.7</c:v>
                </c:pt>
                <c:pt idx="1079">
                  <c:v>21.9</c:v>
                </c:pt>
                <c:pt idx="1080">
                  <c:v>22.2</c:v>
                </c:pt>
                <c:pt idx="1081">
                  <c:v>22.4</c:v>
                </c:pt>
                <c:pt idx="1082">
                  <c:v>22.6</c:v>
                </c:pt>
                <c:pt idx="1083">
                  <c:v>22.8</c:v>
                </c:pt>
                <c:pt idx="1084">
                  <c:v>23.1</c:v>
                </c:pt>
                <c:pt idx="1085">
                  <c:v>23.3</c:v>
                </c:pt>
                <c:pt idx="1086">
                  <c:v>23.6</c:v>
                </c:pt>
                <c:pt idx="1087">
                  <c:v>23.9</c:v>
                </c:pt>
                <c:pt idx="1088">
                  <c:v>24.1</c:v>
                </c:pt>
                <c:pt idx="1089">
                  <c:v>24.4</c:v>
                </c:pt>
                <c:pt idx="1090">
                  <c:v>24.7</c:v>
                </c:pt>
                <c:pt idx="1091">
                  <c:v>25</c:v>
                </c:pt>
                <c:pt idx="1092">
                  <c:v>25.3</c:v>
                </c:pt>
                <c:pt idx="1093">
                  <c:v>25.7</c:v>
                </c:pt>
                <c:pt idx="1094">
                  <c:v>26</c:v>
                </c:pt>
                <c:pt idx="1095">
                  <c:v>26.4</c:v>
                </c:pt>
                <c:pt idx="1096">
                  <c:v>26.7</c:v>
                </c:pt>
                <c:pt idx="1097">
                  <c:v>27.1</c:v>
                </c:pt>
                <c:pt idx="1098">
                  <c:v>27.5</c:v>
                </c:pt>
                <c:pt idx="1099">
                  <c:v>27.9</c:v>
                </c:pt>
                <c:pt idx="1100">
                  <c:v>28.3</c:v>
                </c:pt>
                <c:pt idx="1101">
                  <c:v>28.7</c:v>
                </c:pt>
                <c:pt idx="1102">
                  <c:v>29.2</c:v>
                </c:pt>
                <c:pt idx="1103">
                  <c:v>29.6</c:v>
                </c:pt>
                <c:pt idx="1104">
                  <c:v>30.1</c:v>
                </c:pt>
                <c:pt idx="1105">
                  <c:v>30.6</c:v>
                </c:pt>
                <c:pt idx="1106">
                  <c:v>31.2</c:v>
                </c:pt>
                <c:pt idx="1107">
                  <c:v>31.7</c:v>
                </c:pt>
                <c:pt idx="1108">
                  <c:v>32.299999999999997</c:v>
                </c:pt>
                <c:pt idx="1109">
                  <c:v>32.9</c:v>
                </c:pt>
                <c:pt idx="1110">
                  <c:v>33.5</c:v>
                </c:pt>
                <c:pt idx="1111">
                  <c:v>34.1</c:v>
                </c:pt>
                <c:pt idx="1112">
                  <c:v>34.799999999999997</c:v>
                </c:pt>
                <c:pt idx="1113">
                  <c:v>35.5</c:v>
                </c:pt>
                <c:pt idx="1114">
                  <c:v>36.200000000000003</c:v>
                </c:pt>
                <c:pt idx="1115">
                  <c:v>36.9</c:v>
                </c:pt>
                <c:pt idx="1116">
                  <c:v>37.700000000000003</c:v>
                </c:pt>
                <c:pt idx="1117">
                  <c:v>38.5</c:v>
                </c:pt>
                <c:pt idx="1118">
                  <c:v>39.4</c:v>
                </c:pt>
                <c:pt idx="1119">
                  <c:v>40.299999999999997</c:v>
                </c:pt>
                <c:pt idx="1120">
                  <c:v>41.3</c:v>
                </c:pt>
                <c:pt idx="1121">
                  <c:v>42.2</c:v>
                </c:pt>
                <c:pt idx="1122">
                  <c:v>43.3</c:v>
                </c:pt>
                <c:pt idx="1123">
                  <c:v>44.4</c:v>
                </c:pt>
                <c:pt idx="1124">
                  <c:v>45.5</c:v>
                </c:pt>
                <c:pt idx="1125">
                  <c:v>46.7</c:v>
                </c:pt>
                <c:pt idx="1126">
                  <c:v>47.9</c:v>
                </c:pt>
                <c:pt idx="1127">
                  <c:v>49.3</c:v>
                </c:pt>
                <c:pt idx="1128">
                  <c:v>50.6</c:v>
                </c:pt>
                <c:pt idx="1129">
                  <c:v>52.1</c:v>
                </c:pt>
                <c:pt idx="1130">
                  <c:v>53.6</c:v>
                </c:pt>
                <c:pt idx="1131">
                  <c:v>55.2</c:v>
                </c:pt>
                <c:pt idx="1132">
                  <c:v>56.9</c:v>
                </c:pt>
                <c:pt idx="1133">
                  <c:v>58.7</c:v>
                </c:pt>
                <c:pt idx="1134">
                  <c:v>60.6</c:v>
                </c:pt>
                <c:pt idx="1135">
                  <c:v>62.7</c:v>
                </c:pt>
                <c:pt idx="1136">
                  <c:v>64.8</c:v>
                </c:pt>
                <c:pt idx="1137">
                  <c:v>67</c:v>
                </c:pt>
                <c:pt idx="1138">
                  <c:v>69.400000000000006</c:v>
                </c:pt>
                <c:pt idx="1139">
                  <c:v>71.900000000000006</c:v>
                </c:pt>
                <c:pt idx="1140">
                  <c:v>74.599999999999994</c:v>
                </c:pt>
                <c:pt idx="1141">
                  <c:v>77.400000000000006</c:v>
                </c:pt>
                <c:pt idx="1142">
                  <c:v>80.400000000000006</c:v>
                </c:pt>
                <c:pt idx="1143">
                  <c:v>83.6</c:v>
                </c:pt>
                <c:pt idx="1144">
                  <c:v>87</c:v>
                </c:pt>
                <c:pt idx="1145">
                  <c:v>90.6</c:v>
                </c:pt>
                <c:pt idx="1146">
                  <c:v>94.4</c:v>
                </c:pt>
                <c:pt idx="1147">
                  <c:v>98.5</c:v>
                </c:pt>
                <c:pt idx="1148">
                  <c:v>102.8</c:v>
                </c:pt>
                <c:pt idx="1149">
                  <c:v>107.4</c:v>
                </c:pt>
                <c:pt idx="1150">
                  <c:v>112.3</c:v>
                </c:pt>
                <c:pt idx="1151">
                  <c:v>117.5</c:v>
                </c:pt>
                <c:pt idx="1152">
                  <c:v>123</c:v>
                </c:pt>
                <c:pt idx="1153">
                  <c:v>128.80000000000001</c:v>
                </c:pt>
                <c:pt idx="1154">
                  <c:v>135</c:v>
                </c:pt>
                <c:pt idx="1155">
                  <c:v>141.5</c:v>
                </c:pt>
                <c:pt idx="1156">
                  <c:v>148.4</c:v>
                </c:pt>
                <c:pt idx="1157">
                  <c:v>155.5</c:v>
                </c:pt>
                <c:pt idx="1158">
                  <c:v>163</c:v>
                </c:pt>
                <c:pt idx="1159">
                  <c:v>170.8</c:v>
                </c:pt>
                <c:pt idx="1160">
                  <c:v>178.9</c:v>
                </c:pt>
                <c:pt idx="1161">
                  <c:v>187.1</c:v>
                </c:pt>
                <c:pt idx="1162">
                  <c:v>195.4</c:v>
                </c:pt>
                <c:pt idx="1163">
                  <c:v>203.7</c:v>
                </c:pt>
                <c:pt idx="1164">
                  <c:v>211.9</c:v>
                </c:pt>
                <c:pt idx="1165">
                  <c:v>219.8</c:v>
                </c:pt>
                <c:pt idx="1166">
                  <c:v>227.2</c:v>
                </c:pt>
                <c:pt idx="1167">
                  <c:v>234</c:v>
                </c:pt>
                <c:pt idx="1168">
                  <c:v>240</c:v>
                </c:pt>
                <c:pt idx="1169">
                  <c:v>245.1</c:v>
                </c:pt>
                <c:pt idx="1170">
                  <c:v>249.1</c:v>
                </c:pt>
                <c:pt idx="1171">
                  <c:v>252.2</c:v>
                </c:pt>
                <c:pt idx="1172">
                  <c:v>254.4</c:v>
                </c:pt>
                <c:pt idx="1173">
                  <c:v>255.9</c:v>
                </c:pt>
                <c:pt idx="1174">
                  <c:v>256.8</c:v>
                </c:pt>
                <c:pt idx="1175">
                  <c:v>257.39999999999998</c:v>
                </c:pt>
                <c:pt idx="1176">
                  <c:v>257.8</c:v>
                </c:pt>
                <c:pt idx="1177">
                  <c:v>257.89999999999998</c:v>
                </c:pt>
                <c:pt idx="1178">
                  <c:v>257.89999999999998</c:v>
                </c:pt>
                <c:pt idx="1179">
                  <c:v>257.8</c:v>
                </c:pt>
                <c:pt idx="1180">
                  <c:v>257.39999999999998</c:v>
                </c:pt>
                <c:pt idx="1181">
                  <c:v>256.89999999999998</c:v>
                </c:pt>
                <c:pt idx="1182">
                  <c:v>255.9</c:v>
                </c:pt>
                <c:pt idx="1183">
                  <c:v>254.5</c:v>
                </c:pt>
                <c:pt idx="1184">
                  <c:v>252.3</c:v>
                </c:pt>
                <c:pt idx="1185">
                  <c:v>249.2</c:v>
                </c:pt>
                <c:pt idx="1186">
                  <c:v>245.2</c:v>
                </c:pt>
                <c:pt idx="1187">
                  <c:v>240.2</c:v>
                </c:pt>
                <c:pt idx="1188">
                  <c:v>234.2</c:v>
                </c:pt>
                <c:pt idx="1189">
                  <c:v>227.5</c:v>
                </c:pt>
                <c:pt idx="1190">
                  <c:v>220.1</c:v>
                </c:pt>
              </c:numCache>
            </c:numRef>
          </c:yVal>
          <c:smooth val="1"/>
          <c:extLst>
            <c:ext xmlns:c16="http://schemas.microsoft.com/office/drawing/2014/chart" uri="{C3380CC4-5D6E-409C-BE32-E72D297353CC}">
              <c16:uniqueId val="{00000000-7C85-45CF-A381-2F467200C6B2}"/>
            </c:ext>
          </c:extLst>
        </c:ser>
        <c:ser>
          <c:idx val="4"/>
          <c:order val="1"/>
          <c:tx>
            <c:strRef>
              <c:f>Tatm!$I$5</c:f>
              <c:strCache>
                <c:ptCount val="1"/>
                <c:pt idx="0">
                  <c:v>6</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Tatm!$I$6:$I$1196</c:f>
              <c:numCache>
                <c:formatCode>General</c:formatCode>
                <c:ptCount val="1191"/>
                <c:pt idx="0">
                  <c:v>4.4000000000000004</c:v>
                </c:pt>
                <c:pt idx="1">
                  <c:v>4.4000000000000004</c:v>
                </c:pt>
                <c:pt idx="2">
                  <c:v>4.4000000000000004</c:v>
                </c:pt>
                <c:pt idx="3">
                  <c:v>4.4000000000000004</c:v>
                </c:pt>
                <c:pt idx="4">
                  <c:v>4.4000000000000004</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4.5999999999999996</c:v>
                </c:pt>
                <c:pt idx="22">
                  <c:v>4.5999999999999996</c:v>
                </c:pt>
                <c:pt idx="23">
                  <c:v>4.5999999999999996</c:v>
                </c:pt>
                <c:pt idx="24">
                  <c:v>4.5999999999999996</c:v>
                </c:pt>
                <c:pt idx="25">
                  <c:v>4.5999999999999996</c:v>
                </c:pt>
                <c:pt idx="26">
                  <c:v>4.5999999999999996</c:v>
                </c:pt>
                <c:pt idx="27">
                  <c:v>4.5999999999999996</c:v>
                </c:pt>
                <c:pt idx="28">
                  <c:v>4.5999999999999996</c:v>
                </c:pt>
                <c:pt idx="29">
                  <c:v>4.5999999999999996</c:v>
                </c:pt>
                <c:pt idx="30">
                  <c:v>4.5999999999999996</c:v>
                </c:pt>
                <c:pt idx="31">
                  <c:v>4.5999999999999996</c:v>
                </c:pt>
                <c:pt idx="32">
                  <c:v>4.5999999999999996</c:v>
                </c:pt>
                <c:pt idx="33">
                  <c:v>4.5999999999999996</c:v>
                </c:pt>
                <c:pt idx="34">
                  <c:v>4.5999999999999996</c:v>
                </c:pt>
                <c:pt idx="35">
                  <c:v>4.5999999999999996</c:v>
                </c:pt>
                <c:pt idx="36">
                  <c:v>4.5999999999999996</c:v>
                </c:pt>
                <c:pt idx="37">
                  <c:v>4.5999999999999996</c:v>
                </c:pt>
                <c:pt idx="38">
                  <c:v>4.5999999999999996</c:v>
                </c:pt>
                <c:pt idx="39">
                  <c:v>4.5999999999999996</c:v>
                </c:pt>
                <c:pt idx="40">
                  <c:v>4.5999999999999996</c:v>
                </c:pt>
                <c:pt idx="41">
                  <c:v>4.5999999999999996</c:v>
                </c:pt>
                <c:pt idx="42">
                  <c:v>4.5999999999999996</c:v>
                </c:pt>
                <c:pt idx="43">
                  <c:v>4.7</c:v>
                </c:pt>
                <c:pt idx="44">
                  <c:v>4.7</c:v>
                </c:pt>
                <c:pt idx="45">
                  <c:v>4.7</c:v>
                </c:pt>
                <c:pt idx="46">
                  <c:v>4.7</c:v>
                </c:pt>
                <c:pt idx="47">
                  <c:v>4.7</c:v>
                </c:pt>
                <c:pt idx="48">
                  <c:v>4.7</c:v>
                </c:pt>
                <c:pt idx="49">
                  <c:v>4.7</c:v>
                </c:pt>
                <c:pt idx="50">
                  <c:v>4.7</c:v>
                </c:pt>
                <c:pt idx="51">
                  <c:v>4.7</c:v>
                </c:pt>
                <c:pt idx="52">
                  <c:v>4.7</c:v>
                </c:pt>
                <c:pt idx="53">
                  <c:v>4.7</c:v>
                </c:pt>
                <c:pt idx="54">
                  <c:v>4.7</c:v>
                </c:pt>
                <c:pt idx="55">
                  <c:v>4.7</c:v>
                </c:pt>
                <c:pt idx="56">
                  <c:v>4.7</c:v>
                </c:pt>
                <c:pt idx="57">
                  <c:v>4.7</c:v>
                </c:pt>
                <c:pt idx="58">
                  <c:v>4.7</c:v>
                </c:pt>
                <c:pt idx="59">
                  <c:v>4.7</c:v>
                </c:pt>
                <c:pt idx="60">
                  <c:v>4.8</c:v>
                </c:pt>
                <c:pt idx="61">
                  <c:v>4.8</c:v>
                </c:pt>
                <c:pt idx="62">
                  <c:v>4.8</c:v>
                </c:pt>
                <c:pt idx="63">
                  <c:v>4.8</c:v>
                </c:pt>
                <c:pt idx="64">
                  <c:v>4.8</c:v>
                </c:pt>
                <c:pt idx="65">
                  <c:v>4.8</c:v>
                </c:pt>
                <c:pt idx="66">
                  <c:v>4.8</c:v>
                </c:pt>
                <c:pt idx="67">
                  <c:v>4.8</c:v>
                </c:pt>
                <c:pt idx="68">
                  <c:v>4.8</c:v>
                </c:pt>
                <c:pt idx="69">
                  <c:v>4.8</c:v>
                </c:pt>
                <c:pt idx="70">
                  <c:v>4.8</c:v>
                </c:pt>
                <c:pt idx="71">
                  <c:v>4.8</c:v>
                </c:pt>
                <c:pt idx="72">
                  <c:v>4.8</c:v>
                </c:pt>
                <c:pt idx="73">
                  <c:v>4.9000000000000004</c:v>
                </c:pt>
                <c:pt idx="74">
                  <c:v>4.9000000000000004</c:v>
                </c:pt>
                <c:pt idx="75">
                  <c:v>4.9000000000000004</c:v>
                </c:pt>
                <c:pt idx="76">
                  <c:v>4.9000000000000004</c:v>
                </c:pt>
                <c:pt idx="77">
                  <c:v>4.9000000000000004</c:v>
                </c:pt>
                <c:pt idx="78">
                  <c:v>4.9000000000000004</c:v>
                </c:pt>
                <c:pt idx="79">
                  <c:v>4.9000000000000004</c:v>
                </c:pt>
                <c:pt idx="80">
                  <c:v>4.9000000000000004</c:v>
                </c:pt>
                <c:pt idx="81">
                  <c:v>4.9000000000000004</c:v>
                </c:pt>
                <c:pt idx="82">
                  <c:v>4.9000000000000004</c:v>
                </c:pt>
                <c:pt idx="83">
                  <c:v>4.9000000000000004</c:v>
                </c:pt>
                <c:pt idx="84">
                  <c:v>5</c:v>
                </c:pt>
                <c:pt idx="85">
                  <c:v>5</c:v>
                </c:pt>
                <c:pt idx="86">
                  <c:v>5</c:v>
                </c:pt>
                <c:pt idx="87">
                  <c:v>5</c:v>
                </c:pt>
                <c:pt idx="88">
                  <c:v>5</c:v>
                </c:pt>
                <c:pt idx="89">
                  <c:v>5</c:v>
                </c:pt>
                <c:pt idx="90">
                  <c:v>5</c:v>
                </c:pt>
                <c:pt idx="91">
                  <c:v>5</c:v>
                </c:pt>
                <c:pt idx="92">
                  <c:v>5</c:v>
                </c:pt>
                <c:pt idx="93">
                  <c:v>5.0999999999999996</c:v>
                </c:pt>
                <c:pt idx="94">
                  <c:v>5.0999999999999996</c:v>
                </c:pt>
                <c:pt idx="95">
                  <c:v>5.0999999999999996</c:v>
                </c:pt>
                <c:pt idx="96">
                  <c:v>5.0999999999999996</c:v>
                </c:pt>
                <c:pt idx="97">
                  <c:v>5.0999999999999996</c:v>
                </c:pt>
                <c:pt idx="98">
                  <c:v>5.0999999999999996</c:v>
                </c:pt>
                <c:pt idx="99">
                  <c:v>5.0999999999999996</c:v>
                </c:pt>
                <c:pt idx="100">
                  <c:v>5.0999999999999996</c:v>
                </c:pt>
                <c:pt idx="101">
                  <c:v>5.2</c:v>
                </c:pt>
                <c:pt idx="102">
                  <c:v>5.2</c:v>
                </c:pt>
                <c:pt idx="103">
                  <c:v>5.2</c:v>
                </c:pt>
                <c:pt idx="104">
                  <c:v>5.2</c:v>
                </c:pt>
                <c:pt idx="105">
                  <c:v>5.2</c:v>
                </c:pt>
                <c:pt idx="106">
                  <c:v>5.2</c:v>
                </c:pt>
                <c:pt idx="107">
                  <c:v>5.2</c:v>
                </c:pt>
                <c:pt idx="108">
                  <c:v>5.3</c:v>
                </c:pt>
                <c:pt idx="109">
                  <c:v>5.3</c:v>
                </c:pt>
                <c:pt idx="110">
                  <c:v>5.3</c:v>
                </c:pt>
                <c:pt idx="111">
                  <c:v>5.3</c:v>
                </c:pt>
                <c:pt idx="112">
                  <c:v>5.3</c:v>
                </c:pt>
                <c:pt idx="113">
                  <c:v>5.3</c:v>
                </c:pt>
                <c:pt idx="114">
                  <c:v>5.4</c:v>
                </c:pt>
                <c:pt idx="115">
                  <c:v>5.4</c:v>
                </c:pt>
                <c:pt idx="116">
                  <c:v>5.4</c:v>
                </c:pt>
                <c:pt idx="117">
                  <c:v>5.4</c:v>
                </c:pt>
                <c:pt idx="118">
                  <c:v>5.4</c:v>
                </c:pt>
                <c:pt idx="119">
                  <c:v>5.5</c:v>
                </c:pt>
                <c:pt idx="120">
                  <c:v>5.5</c:v>
                </c:pt>
                <c:pt idx="121">
                  <c:v>5.5</c:v>
                </c:pt>
                <c:pt idx="122">
                  <c:v>5.5</c:v>
                </c:pt>
                <c:pt idx="123">
                  <c:v>5.5</c:v>
                </c:pt>
                <c:pt idx="124">
                  <c:v>5.6</c:v>
                </c:pt>
                <c:pt idx="125">
                  <c:v>5.6</c:v>
                </c:pt>
                <c:pt idx="126">
                  <c:v>5.6</c:v>
                </c:pt>
                <c:pt idx="127">
                  <c:v>5.6</c:v>
                </c:pt>
                <c:pt idx="128">
                  <c:v>5.6</c:v>
                </c:pt>
                <c:pt idx="129">
                  <c:v>5.7</c:v>
                </c:pt>
                <c:pt idx="130">
                  <c:v>5.7</c:v>
                </c:pt>
                <c:pt idx="131">
                  <c:v>5.7</c:v>
                </c:pt>
                <c:pt idx="132">
                  <c:v>5.7</c:v>
                </c:pt>
                <c:pt idx="133">
                  <c:v>5.8</c:v>
                </c:pt>
                <c:pt idx="134">
                  <c:v>5.8</c:v>
                </c:pt>
                <c:pt idx="135">
                  <c:v>5.8</c:v>
                </c:pt>
                <c:pt idx="136">
                  <c:v>5.9</c:v>
                </c:pt>
                <c:pt idx="137">
                  <c:v>5.9</c:v>
                </c:pt>
                <c:pt idx="138">
                  <c:v>5.9</c:v>
                </c:pt>
                <c:pt idx="139">
                  <c:v>6</c:v>
                </c:pt>
                <c:pt idx="140">
                  <c:v>6</c:v>
                </c:pt>
                <c:pt idx="141">
                  <c:v>6</c:v>
                </c:pt>
                <c:pt idx="142">
                  <c:v>6.1</c:v>
                </c:pt>
                <c:pt idx="143">
                  <c:v>6.1</c:v>
                </c:pt>
                <c:pt idx="144">
                  <c:v>6.1</c:v>
                </c:pt>
                <c:pt idx="145">
                  <c:v>6.2</c:v>
                </c:pt>
                <c:pt idx="146">
                  <c:v>6.2</c:v>
                </c:pt>
                <c:pt idx="147">
                  <c:v>6.3</c:v>
                </c:pt>
                <c:pt idx="148">
                  <c:v>6.3</c:v>
                </c:pt>
                <c:pt idx="149">
                  <c:v>6.3</c:v>
                </c:pt>
                <c:pt idx="150">
                  <c:v>6.4</c:v>
                </c:pt>
                <c:pt idx="151">
                  <c:v>6.4</c:v>
                </c:pt>
                <c:pt idx="152">
                  <c:v>6.5</c:v>
                </c:pt>
                <c:pt idx="153">
                  <c:v>6.5</c:v>
                </c:pt>
                <c:pt idx="154">
                  <c:v>6.6</c:v>
                </c:pt>
                <c:pt idx="155">
                  <c:v>6.6</c:v>
                </c:pt>
                <c:pt idx="156">
                  <c:v>6.7</c:v>
                </c:pt>
                <c:pt idx="157">
                  <c:v>6.8</c:v>
                </c:pt>
                <c:pt idx="158">
                  <c:v>6.8</c:v>
                </c:pt>
                <c:pt idx="159">
                  <c:v>6.9</c:v>
                </c:pt>
                <c:pt idx="160">
                  <c:v>7</c:v>
                </c:pt>
                <c:pt idx="161">
                  <c:v>7</c:v>
                </c:pt>
                <c:pt idx="162">
                  <c:v>7.1</c:v>
                </c:pt>
                <c:pt idx="163">
                  <c:v>7.2</c:v>
                </c:pt>
                <c:pt idx="164">
                  <c:v>7.3</c:v>
                </c:pt>
                <c:pt idx="165">
                  <c:v>7.3</c:v>
                </c:pt>
                <c:pt idx="166">
                  <c:v>7.4</c:v>
                </c:pt>
                <c:pt idx="167">
                  <c:v>7.5</c:v>
                </c:pt>
                <c:pt idx="168">
                  <c:v>7.6</c:v>
                </c:pt>
                <c:pt idx="169">
                  <c:v>7.7</c:v>
                </c:pt>
                <c:pt idx="170">
                  <c:v>7.8</c:v>
                </c:pt>
                <c:pt idx="171">
                  <c:v>7.9</c:v>
                </c:pt>
                <c:pt idx="172">
                  <c:v>8.1</c:v>
                </c:pt>
                <c:pt idx="173">
                  <c:v>8.1999999999999993</c:v>
                </c:pt>
                <c:pt idx="174">
                  <c:v>8.3000000000000007</c:v>
                </c:pt>
                <c:pt idx="175">
                  <c:v>8.5</c:v>
                </c:pt>
                <c:pt idx="176">
                  <c:v>8.6</c:v>
                </c:pt>
                <c:pt idx="177">
                  <c:v>8.8000000000000007</c:v>
                </c:pt>
                <c:pt idx="178">
                  <c:v>8.9</c:v>
                </c:pt>
                <c:pt idx="179">
                  <c:v>9.1</c:v>
                </c:pt>
                <c:pt idx="180">
                  <c:v>9.3000000000000007</c:v>
                </c:pt>
                <c:pt idx="181">
                  <c:v>9.5</c:v>
                </c:pt>
                <c:pt idx="182">
                  <c:v>9.6999999999999993</c:v>
                </c:pt>
                <c:pt idx="183">
                  <c:v>9.9</c:v>
                </c:pt>
                <c:pt idx="184">
                  <c:v>10.199999999999999</c:v>
                </c:pt>
                <c:pt idx="185">
                  <c:v>10.4</c:v>
                </c:pt>
                <c:pt idx="186">
                  <c:v>10.7</c:v>
                </c:pt>
                <c:pt idx="187">
                  <c:v>11</c:v>
                </c:pt>
                <c:pt idx="188">
                  <c:v>11.3</c:v>
                </c:pt>
                <c:pt idx="189">
                  <c:v>11.6</c:v>
                </c:pt>
                <c:pt idx="190">
                  <c:v>12</c:v>
                </c:pt>
                <c:pt idx="191">
                  <c:v>12.3</c:v>
                </c:pt>
                <c:pt idx="192">
                  <c:v>12.7</c:v>
                </c:pt>
                <c:pt idx="193">
                  <c:v>13.1</c:v>
                </c:pt>
                <c:pt idx="194">
                  <c:v>13.6</c:v>
                </c:pt>
                <c:pt idx="195">
                  <c:v>14</c:v>
                </c:pt>
                <c:pt idx="196">
                  <c:v>14.5</c:v>
                </c:pt>
                <c:pt idx="197">
                  <c:v>15</c:v>
                </c:pt>
                <c:pt idx="198">
                  <c:v>15.6</c:v>
                </c:pt>
                <c:pt idx="199">
                  <c:v>16.100000000000001</c:v>
                </c:pt>
                <c:pt idx="200">
                  <c:v>16.7</c:v>
                </c:pt>
                <c:pt idx="201">
                  <c:v>17.3</c:v>
                </c:pt>
                <c:pt idx="202">
                  <c:v>17.899999999999999</c:v>
                </c:pt>
                <c:pt idx="203">
                  <c:v>18.5</c:v>
                </c:pt>
                <c:pt idx="204">
                  <c:v>19.100000000000001</c:v>
                </c:pt>
                <c:pt idx="205">
                  <c:v>19.7</c:v>
                </c:pt>
                <c:pt idx="206">
                  <c:v>20.3</c:v>
                </c:pt>
                <c:pt idx="207">
                  <c:v>20.8</c:v>
                </c:pt>
                <c:pt idx="208">
                  <c:v>21.3</c:v>
                </c:pt>
                <c:pt idx="209">
                  <c:v>21.8</c:v>
                </c:pt>
                <c:pt idx="210">
                  <c:v>22.2</c:v>
                </c:pt>
                <c:pt idx="211">
                  <c:v>22.5</c:v>
                </c:pt>
                <c:pt idx="212">
                  <c:v>22.8</c:v>
                </c:pt>
                <c:pt idx="213">
                  <c:v>22.9</c:v>
                </c:pt>
                <c:pt idx="214">
                  <c:v>23</c:v>
                </c:pt>
                <c:pt idx="215">
                  <c:v>22.9</c:v>
                </c:pt>
                <c:pt idx="216">
                  <c:v>22.8</c:v>
                </c:pt>
                <c:pt idx="217">
                  <c:v>22.6</c:v>
                </c:pt>
                <c:pt idx="218">
                  <c:v>22.4</c:v>
                </c:pt>
                <c:pt idx="219">
                  <c:v>22.1</c:v>
                </c:pt>
                <c:pt idx="220">
                  <c:v>21.7</c:v>
                </c:pt>
                <c:pt idx="221">
                  <c:v>21.3</c:v>
                </c:pt>
                <c:pt idx="222">
                  <c:v>20.9</c:v>
                </c:pt>
                <c:pt idx="223">
                  <c:v>20.5</c:v>
                </c:pt>
                <c:pt idx="224">
                  <c:v>20</c:v>
                </c:pt>
                <c:pt idx="225">
                  <c:v>19.600000000000001</c:v>
                </c:pt>
                <c:pt idx="226">
                  <c:v>19.2</c:v>
                </c:pt>
                <c:pt idx="227">
                  <c:v>18.7</c:v>
                </c:pt>
                <c:pt idx="228">
                  <c:v>18.3</c:v>
                </c:pt>
                <c:pt idx="229">
                  <c:v>17.899999999999999</c:v>
                </c:pt>
                <c:pt idx="230">
                  <c:v>17.5</c:v>
                </c:pt>
                <c:pt idx="231">
                  <c:v>17.100000000000001</c:v>
                </c:pt>
                <c:pt idx="232">
                  <c:v>16.7</c:v>
                </c:pt>
                <c:pt idx="233">
                  <c:v>16.3</c:v>
                </c:pt>
                <c:pt idx="234">
                  <c:v>16</c:v>
                </c:pt>
                <c:pt idx="235">
                  <c:v>15.7</c:v>
                </c:pt>
                <c:pt idx="236">
                  <c:v>15.4</c:v>
                </c:pt>
                <c:pt idx="237">
                  <c:v>15.1</c:v>
                </c:pt>
                <c:pt idx="238">
                  <c:v>14.8</c:v>
                </c:pt>
                <c:pt idx="239">
                  <c:v>14.6</c:v>
                </c:pt>
                <c:pt idx="240">
                  <c:v>14.3</c:v>
                </c:pt>
                <c:pt idx="241">
                  <c:v>14.1</c:v>
                </c:pt>
                <c:pt idx="242">
                  <c:v>13.9</c:v>
                </c:pt>
                <c:pt idx="243">
                  <c:v>13.7</c:v>
                </c:pt>
                <c:pt idx="244">
                  <c:v>13.5</c:v>
                </c:pt>
                <c:pt idx="245">
                  <c:v>13.3</c:v>
                </c:pt>
                <c:pt idx="246">
                  <c:v>13.1</c:v>
                </c:pt>
                <c:pt idx="247">
                  <c:v>13</c:v>
                </c:pt>
                <c:pt idx="248">
                  <c:v>12.8</c:v>
                </c:pt>
                <c:pt idx="249">
                  <c:v>12.7</c:v>
                </c:pt>
                <c:pt idx="250">
                  <c:v>12.5</c:v>
                </c:pt>
                <c:pt idx="251">
                  <c:v>12.4</c:v>
                </c:pt>
                <c:pt idx="252">
                  <c:v>12.3</c:v>
                </c:pt>
                <c:pt idx="253">
                  <c:v>12.2</c:v>
                </c:pt>
                <c:pt idx="254">
                  <c:v>12.1</c:v>
                </c:pt>
                <c:pt idx="255">
                  <c:v>12</c:v>
                </c:pt>
                <c:pt idx="256">
                  <c:v>11.9</c:v>
                </c:pt>
                <c:pt idx="257">
                  <c:v>11.8</c:v>
                </c:pt>
                <c:pt idx="258">
                  <c:v>11.7</c:v>
                </c:pt>
                <c:pt idx="259">
                  <c:v>11.7</c:v>
                </c:pt>
                <c:pt idx="260">
                  <c:v>11.6</c:v>
                </c:pt>
                <c:pt idx="261">
                  <c:v>11.5</c:v>
                </c:pt>
                <c:pt idx="262">
                  <c:v>11.5</c:v>
                </c:pt>
                <c:pt idx="263">
                  <c:v>11.4</c:v>
                </c:pt>
                <c:pt idx="264">
                  <c:v>11.4</c:v>
                </c:pt>
                <c:pt idx="265">
                  <c:v>11.3</c:v>
                </c:pt>
                <c:pt idx="266">
                  <c:v>11.3</c:v>
                </c:pt>
                <c:pt idx="267">
                  <c:v>11.3</c:v>
                </c:pt>
                <c:pt idx="268">
                  <c:v>11.2</c:v>
                </c:pt>
                <c:pt idx="269">
                  <c:v>11.2</c:v>
                </c:pt>
                <c:pt idx="270">
                  <c:v>11.2</c:v>
                </c:pt>
                <c:pt idx="271">
                  <c:v>11.1</c:v>
                </c:pt>
                <c:pt idx="272">
                  <c:v>11.1</c:v>
                </c:pt>
                <c:pt idx="273">
                  <c:v>11.1</c:v>
                </c:pt>
                <c:pt idx="274">
                  <c:v>11.1</c:v>
                </c:pt>
                <c:pt idx="275">
                  <c:v>11.1</c:v>
                </c:pt>
                <c:pt idx="276">
                  <c:v>11.1</c:v>
                </c:pt>
                <c:pt idx="277">
                  <c:v>11</c:v>
                </c:pt>
                <c:pt idx="278">
                  <c:v>11</c:v>
                </c:pt>
                <c:pt idx="279">
                  <c:v>11</c:v>
                </c:pt>
                <c:pt idx="280">
                  <c:v>11</c:v>
                </c:pt>
                <c:pt idx="281">
                  <c:v>11</c:v>
                </c:pt>
                <c:pt idx="282">
                  <c:v>11</c:v>
                </c:pt>
                <c:pt idx="283">
                  <c:v>11</c:v>
                </c:pt>
                <c:pt idx="284">
                  <c:v>11</c:v>
                </c:pt>
                <c:pt idx="285">
                  <c:v>11</c:v>
                </c:pt>
                <c:pt idx="286">
                  <c:v>11</c:v>
                </c:pt>
                <c:pt idx="287">
                  <c:v>11</c:v>
                </c:pt>
                <c:pt idx="288">
                  <c:v>11.1</c:v>
                </c:pt>
                <c:pt idx="289">
                  <c:v>11.1</c:v>
                </c:pt>
                <c:pt idx="290">
                  <c:v>11.1</c:v>
                </c:pt>
                <c:pt idx="291">
                  <c:v>11.1</c:v>
                </c:pt>
                <c:pt idx="292">
                  <c:v>11.1</c:v>
                </c:pt>
                <c:pt idx="293">
                  <c:v>11.1</c:v>
                </c:pt>
                <c:pt idx="294">
                  <c:v>11.1</c:v>
                </c:pt>
                <c:pt idx="295">
                  <c:v>11.2</c:v>
                </c:pt>
                <c:pt idx="296">
                  <c:v>11.2</c:v>
                </c:pt>
                <c:pt idx="297">
                  <c:v>11.2</c:v>
                </c:pt>
                <c:pt idx="298">
                  <c:v>11.2</c:v>
                </c:pt>
                <c:pt idx="299">
                  <c:v>11.2</c:v>
                </c:pt>
                <c:pt idx="300">
                  <c:v>11.3</c:v>
                </c:pt>
                <c:pt idx="301">
                  <c:v>11.3</c:v>
                </c:pt>
                <c:pt idx="302">
                  <c:v>11.3</c:v>
                </c:pt>
                <c:pt idx="303">
                  <c:v>11.4</c:v>
                </c:pt>
                <c:pt idx="304">
                  <c:v>11.4</c:v>
                </c:pt>
                <c:pt idx="305">
                  <c:v>11.4</c:v>
                </c:pt>
                <c:pt idx="306">
                  <c:v>11.4</c:v>
                </c:pt>
                <c:pt idx="307">
                  <c:v>11.5</c:v>
                </c:pt>
                <c:pt idx="308">
                  <c:v>11.5</c:v>
                </c:pt>
                <c:pt idx="309">
                  <c:v>11.5</c:v>
                </c:pt>
                <c:pt idx="310">
                  <c:v>11.6</c:v>
                </c:pt>
                <c:pt idx="311">
                  <c:v>11.6</c:v>
                </c:pt>
                <c:pt idx="312">
                  <c:v>11.7</c:v>
                </c:pt>
                <c:pt idx="313">
                  <c:v>11.7</c:v>
                </c:pt>
                <c:pt idx="314">
                  <c:v>11.7</c:v>
                </c:pt>
                <c:pt idx="315">
                  <c:v>11.8</c:v>
                </c:pt>
                <c:pt idx="316">
                  <c:v>11.8</c:v>
                </c:pt>
                <c:pt idx="317">
                  <c:v>11.9</c:v>
                </c:pt>
                <c:pt idx="318">
                  <c:v>11.9</c:v>
                </c:pt>
                <c:pt idx="319">
                  <c:v>11.9</c:v>
                </c:pt>
                <c:pt idx="320">
                  <c:v>12</c:v>
                </c:pt>
                <c:pt idx="321">
                  <c:v>12</c:v>
                </c:pt>
                <c:pt idx="322">
                  <c:v>12.1</c:v>
                </c:pt>
                <c:pt idx="323">
                  <c:v>12.1</c:v>
                </c:pt>
                <c:pt idx="324">
                  <c:v>12.2</c:v>
                </c:pt>
                <c:pt idx="325">
                  <c:v>12.2</c:v>
                </c:pt>
                <c:pt idx="326">
                  <c:v>12.3</c:v>
                </c:pt>
                <c:pt idx="327">
                  <c:v>12.3</c:v>
                </c:pt>
                <c:pt idx="328">
                  <c:v>12.4</c:v>
                </c:pt>
                <c:pt idx="329">
                  <c:v>12.4</c:v>
                </c:pt>
                <c:pt idx="330">
                  <c:v>12.5</c:v>
                </c:pt>
                <c:pt idx="331">
                  <c:v>12.5</c:v>
                </c:pt>
                <c:pt idx="332">
                  <c:v>12.6</c:v>
                </c:pt>
                <c:pt idx="333">
                  <c:v>12.7</c:v>
                </c:pt>
                <c:pt idx="334">
                  <c:v>12.7</c:v>
                </c:pt>
                <c:pt idx="335">
                  <c:v>12.8</c:v>
                </c:pt>
                <c:pt idx="336">
                  <c:v>12.8</c:v>
                </c:pt>
                <c:pt idx="337">
                  <c:v>12.9</c:v>
                </c:pt>
                <c:pt idx="338">
                  <c:v>13</c:v>
                </c:pt>
                <c:pt idx="339">
                  <c:v>13</c:v>
                </c:pt>
                <c:pt idx="340">
                  <c:v>13.1</c:v>
                </c:pt>
                <c:pt idx="341">
                  <c:v>13.2</c:v>
                </c:pt>
                <c:pt idx="342">
                  <c:v>13.2</c:v>
                </c:pt>
                <c:pt idx="343">
                  <c:v>13.3</c:v>
                </c:pt>
                <c:pt idx="344">
                  <c:v>13.4</c:v>
                </c:pt>
                <c:pt idx="345">
                  <c:v>13.4</c:v>
                </c:pt>
                <c:pt idx="346">
                  <c:v>13.5</c:v>
                </c:pt>
                <c:pt idx="347">
                  <c:v>13.6</c:v>
                </c:pt>
                <c:pt idx="348">
                  <c:v>13.6</c:v>
                </c:pt>
                <c:pt idx="349">
                  <c:v>13.7</c:v>
                </c:pt>
                <c:pt idx="350">
                  <c:v>13.8</c:v>
                </c:pt>
                <c:pt idx="351">
                  <c:v>13.9</c:v>
                </c:pt>
                <c:pt idx="352">
                  <c:v>13.9</c:v>
                </c:pt>
                <c:pt idx="353">
                  <c:v>14</c:v>
                </c:pt>
                <c:pt idx="354">
                  <c:v>14.1</c:v>
                </c:pt>
                <c:pt idx="355">
                  <c:v>14.2</c:v>
                </c:pt>
                <c:pt idx="356">
                  <c:v>14.3</c:v>
                </c:pt>
                <c:pt idx="357">
                  <c:v>14.3</c:v>
                </c:pt>
                <c:pt idx="358">
                  <c:v>14.4</c:v>
                </c:pt>
                <c:pt idx="359">
                  <c:v>14.5</c:v>
                </c:pt>
                <c:pt idx="360">
                  <c:v>14.6</c:v>
                </c:pt>
                <c:pt idx="361">
                  <c:v>14.7</c:v>
                </c:pt>
                <c:pt idx="362">
                  <c:v>14.8</c:v>
                </c:pt>
                <c:pt idx="363">
                  <c:v>14.9</c:v>
                </c:pt>
                <c:pt idx="364">
                  <c:v>15</c:v>
                </c:pt>
                <c:pt idx="365">
                  <c:v>15</c:v>
                </c:pt>
                <c:pt idx="366">
                  <c:v>15.1</c:v>
                </c:pt>
                <c:pt idx="367">
                  <c:v>15.2</c:v>
                </c:pt>
                <c:pt idx="368">
                  <c:v>15.3</c:v>
                </c:pt>
                <c:pt idx="369">
                  <c:v>15.4</c:v>
                </c:pt>
                <c:pt idx="370">
                  <c:v>15.5</c:v>
                </c:pt>
                <c:pt idx="371">
                  <c:v>15.6</c:v>
                </c:pt>
                <c:pt idx="372">
                  <c:v>15.7</c:v>
                </c:pt>
                <c:pt idx="373">
                  <c:v>15.8</c:v>
                </c:pt>
                <c:pt idx="374">
                  <c:v>16</c:v>
                </c:pt>
                <c:pt idx="375">
                  <c:v>16.100000000000001</c:v>
                </c:pt>
                <c:pt idx="376">
                  <c:v>16.2</c:v>
                </c:pt>
                <c:pt idx="377">
                  <c:v>16.3</c:v>
                </c:pt>
                <c:pt idx="378">
                  <c:v>16.399999999999999</c:v>
                </c:pt>
                <c:pt idx="379">
                  <c:v>16.5</c:v>
                </c:pt>
                <c:pt idx="380">
                  <c:v>16.600000000000001</c:v>
                </c:pt>
                <c:pt idx="381">
                  <c:v>16.7</c:v>
                </c:pt>
                <c:pt idx="382">
                  <c:v>16.899999999999999</c:v>
                </c:pt>
                <c:pt idx="383">
                  <c:v>17</c:v>
                </c:pt>
                <c:pt idx="384">
                  <c:v>17.100000000000001</c:v>
                </c:pt>
                <c:pt idx="385">
                  <c:v>17.2</c:v>
                </c:pt>
                <c:pt idx="386">
                  <c:v>17.399999999999999</c:v>
                </c:pt>
                <c:pt idx="387">
                  <c:v>17.5</c:v>
                </c:pt>
                <c:pt idx="388">
                  <c:v>17.600000000000001</c:v>
                </c:pt>
                <c:pt idx="389">
                  <c:v>17.8</c:v>
                </c:pt>
                <c:pt idx="390">
                  <c:v>17.899999999999999</c:v>
                </c:pt>
                <c:pt idx="391">
                  <c:v>18</c:v>
                </c:pt>
                <c:pt idx="392">
                  <c:v>18.2</c:v>
                </c:pt>
                <c:pt idx="393">
                  <c:v>18.3</c:v>
                </c:pt>
                <c:pt idx="394">
                  <c:v>18.5</c:v>
                </c:pt>
                <c:pt idx="395">
                  <c:v>18.600000000000001</c:v>
                </c:pt>
                <c:pt idx="396">
                  <c:v>18.7</c:v>
                </c:pt>
                <c:pt idx="397">
                  <c:v>18.899999999999999</c:v>
                </c:pt>
                <c:pt idx="398">
                  <c:v>19.100000000000001</c:v>
                </c:pt>
                <c:pt idx="399">
                  <c:v>19.2</c:v>
                </c:pt>
                <c:pt idx="400">
                  <c:v>19.399999999999999</c:v>
                </c:pt>
                <c:pt idx="401">
                  <c:v>19.5</c:v>
                </c:pt>
                <c:pt idx="402">
                  <c:v>19.7</c:v>
                </c:pt>
                <c:pt idx="403">
                  <c:v>19.899999999999999</c:v>
                </c:pt>
                <c:pt idx="404">
                  <c:v>20</c:v>
                </c:pt>
                <c:pt idx="405">
                  <c:v>20.2</c:v>
                </c:pt>
                <c:pt idx="406">
                  <c:v>20.399999999999999</c:v>
                </c:pt>
                <c:pt idx="407">
                  <c:v>20.6</c:v>
                </c:pt>
                <c:pt idx="408">
                  <c:v>20.7</c:v>
                </c:pt>
                <c:pt idx="409">
                  <c:v>20.9</c:v>
                </c:pt>
                <c:pt idx="410">
                  <c:v>21.1</c:v>
                </c:pt>
                <c:pt idx="411">
                  <c:v>21.3</c:v>
                </c:pt>
                <c:pt idx="412">
                  <c:v>21.5</c:v>
                </c:pt>
                <c:pt idx="413">
                  <c:v>21.7</c:v>
                </c:pt>
                <c:pt idx="414">
                  <c:v>21.9</c:v>
                </c:pt>
                <c:pt idx="415">
                  <c:v>22.1</c:v>
                </c:pt>
                <c:pt idx="416">
                  <c:v>22.3</c:v>
                </c:pt>
                <c:pt idx="417">
                  <c:v>22.5</c:v>
                </c:pt>
                <c:pt idx="418">
                  <c:v>22.8</c:v>
                </c:pt>
                <c:pt idx="419">
                  <c:v>23</c:v>
                </c:pt>
                <c:pt idx="420">
                  <c:v>23.2</c:v>
                </c:pt>
                <c:pt idx="421">
                  <c:v>23.4</c:v>
                </c:pt>
                <c:pt idx="422">
                  <c:v>23.7</c:v>
                </c:pt>
                <c:pt idx="423">
                  <c:v>23.9</c:v>
                </c:pt>
                <c:pt idx="424">
                  <c:v>24.1</c:v>
                </c:pt>
                <c:pt idx="425">
                  <c:v>24.4</c:v>
                </c:pt>
                <c:pt idx="426">
                  <c:v>24.6</c:v>
                </c:pt>
                <c:pt idx="427">
                  <c:v>24.9</c:v>
                </c:pt>
                <c:pt idx="428">
                  <c:v>25.2</c:v>
                </c:pt>
                <c:pt idx="429">
                  <c:v>25.4</c:v>
                </c:pt>
                <c:pt idx="430">
                  <c:v>25.7</c:v>
                </c:pt>
                <c:pt idx="431">
                  <c:v>26</c:v>
                </c:pt>
                <c:pt idx="432">
                  <c:v>26.3</c:v>
                </c:pt>
                <c:pt idx="433">
                  <c:v>26.6</c:v>
                </c:pt>
                <c:pt idx="434">
                  <c:v>26.9</c:v>
                </c:pt>
                <c:pt idx="435">
                  <c:v>27.2</c:v>
                </c:pt>
                <c:pt idx="436">
                  <c:v>27.5</c:v>
                </c:pt>
                <c:pt idx="437">
                  <c:v>27.8</c:v>
                </c:pt>
                <c:pt idx="438">
                  <c:v>28.1</c:v>
                </c:pt>
                <c:pt idx="439">
                  <c:v>28.4</c:v>
                </c:pt>
                <c:pt idx="440">
                  <c:v>28.8</c:v>
                </c:pt>
                <c:pt idx="441">
                  <c:v>29.1</c:v>
                </c:pt>
                <c:pt idx="442">
                  <c:v>29.5</c:v>
                </c:pt>
                <c:pt idx="443">
                  <c:v>29.8</c:v>
                </c:pt>
                <c:pt idx="444">
                  <c:v>30.2</c:v>
                </c:pt>
                <c:pt idx="445">
                  <c:v>30.6</c:v>
                </c:pt>
                <c:pt idx="446">
                  <c:v>30.9</c:v>
                </c:pt>
                <c:pt idx="447">
                  <c:v>31.3</c:v>
                </c:pt>
                <c:pt idx="448">
                  <c:v>31.7</c:v>
                </c:pt>
                <c:pt idx="449">
                  <c:v>32.200000000000003</c:v>
                </c:pt>
                <c:pt idx="450">
                  <c:v>32.6</c:v>
                </c:pt>
                <c:pt idx="451">
                  <c:v>33</c:v>
                </c:pt>
                <c:pt idx="452">
                  <c:v>33.4</c:v>
                </c:pt>
                <c:pt idx="453">
                  <c:v>33.9</c:v>
                </c:pt>
                <c:pt idx="454">
                  <c:v>34.4</c:v>
                </c:pt>
                <c:pt idx="455">
                  <c:v>34.799999999999997</c:v>
                </c:pt>
                <c:pt idx="456">
                  <c:v>35.299999999999997</c:v>
                </c:pt>
                <c:pt idx="457">
                  <c:v>35.799999999999997</c:v>
                </c:pt>
                <c:pt idx="458">
                  <c:v>36.299999999999997</c:v>
                </c:pt>
                <c:pt idx="459">
                  <c:v>36.799999999999997</c:v>
                </c:pt>
                <c:pt idx="460">
                  <c:v>37.4</c:v>
                </c:pt>
                <c:pt idx="461">
                  <c:v>37.9</c:v>
                </c:pt>
                <c:pt idx="462">
                  <c:v>38.5</c:v>
                </c:pt>
                <c:pt idx="463">
                  <c:v>39.1</c:v>
                </c:pt>
                <c:pt idx="464">
                  <c:v>39.700000000000003</c:v>
                </c:pt>
                <c:pt idx="465">
                  <c:v>40.299999999999997</c:v>
                </c:pt>
                <c:pt idx="466">
                  <c:v>40.9</c:v>
                </c:pt>
                <c:pt idx="467">
                  <c:v>41.6</c:v>
                </c:pt>
                <c:pt idx="468">
                  <c:v>42.2</c:v>
                </c:pt>
                <c:pt idx="469">
                  <c:v>42.9</c:v>
                </c:pt>
                <c:pt idx="470">
                  <c:v>43.6</c:v>
                </c:pt>
                <c:pt idx="471">
                  <c:v>44.4</c:v>
                </c:pt>
                <c:pt idx="472">
                  <c:v>45.1</c:v>
                </c:pt>
                <c:pt idx="473">
                  <c:v>45.9</c:v>
                </c:pt>
                <c:pt idx="474">
                  <c:v>46.7</c:v>
                </c:pt>
                <c:pt idx="475">
                  <c:v>47.5</c:v>
                </c:pt>
                <c:pt idx="476">
                  <c:v>48.3</c:v>
                </c:pt>
                <c:pt idx="477">
                  <c:v>49.2</c:v>
                </c:pt>
                <c:pt idx="478">
                  <c:v>50.1</c:v>
                </c:pt>
                <c:pt idx="479">
                  <c:v>51.1</c:v>
                </c:pt>
                <c:pt idx="480">
                  <c:v>52</c:v>
                </c:pt>
                <c:pt idx="481">
                  <c:v>53</c:v>
                </c:pt>
                <c:pt idx="482">
                  <c:v>54</c:v>
                </c:pt>
                <c:pt idx="483">
                  <c:v>55.1</c:v>
                </c:pt>
                <c:pt idx="484">
                  <c:v>56.2</c:v>
                </c:pt>
                <c:pt idx="485">
                  <c:v>57.4</c:v>
                </c:pt>
                <c:pt idx="486">
                  <c:v>58.6</c:v>
                </c:pt>
                <c:pt idx="487">
                  <c:v>59.8</c:v>
                </c:pt>
                <c:pt idx="488">
                  <c:v>61.1</c:v>
                </c:pt>
                <c:pt idx="489">
                  <c:v>62.5</c:v>
                </c:pt>
                <c:pt idx="490">
                  <c:v>63.9</c:v>
                </c:pt>
                <c:pt idx="491">
                  <c:v>65.400000000000006</c:v>
                </c:pt>
                <c:pt idx="492">
                  <c:v>66.900000000000006</c:v>
                </c:pt>
                <c:pt idx="493">
                  <c:v>68.5</c:v>
                </c:pt>
                <c:pt idx="494">
                  <c:v>70.3</c:v>
                </c:pt>
                <c:pt idx="495">
                  <c:v>72.099999999999994</c:v>
                </c:pt>
                <c:pt idx="496">
                  <c:v>73.900000000000006</c:v>
                </c:pt>
                <c:pt idx="497">
                  <c:v>75.900000000000006</c:v>
                </c:pt>
                <c:pt idx="498">
                  <c:v>78</c:v>
                </c:pt>
                <c:pt idx="499">
                  <c:v>80.3</c:v>
                </c:pt>
                <c:pt idx="500">
                  <c:v>82.6</c:v>
                </c:pt>
                <c:pt idx="501">
                  <c:v>85.1</c:v>
                </c:pt>
                <c:pt idx="502">
                  <c:v>87.7</c:v>
                </c:pt>
                <c:pt idx="503">
                  <c:v>90.6</c:v>
                </c:pt>
                <c:pt idx="504">
                  <c:v>93.6</c:v>
                </c:pt>
                <c:pt idx="505">
                  <c:v>96.9</c:v>
                </c:pt>
                <c:pt idx="506">
                  <c:v>100.2</c:v>
                </c:pt>
                <c:pt idx="507">
                  <c:v>103.7</c:v>
                </c:pt>
                <c:pt idx="508">
                  <c:v>107.6</c:v>
                </c:pt>
                <c:pt idx="509">
                  <c:v>111.9</c:v>
                </c:pt>
                <c:pt idx="510">
                  <c:v>116.5</c:v>
                </c:pt>
                <c:pt idx="511">
                  <c:v>121.1</c:v>
                </c:pt>
                <c:pt idx="512">
                  <c:v>125.8</c:v>
                </c:pt>
                <c:pt idx="513">
                  <c:v>131.1</c:v>
                </c:pt>
                <c:pt idx="514">
                  <c:v>137</c:v>
                </c:pt>
                <c:pt idx="515">
                  <c:v>143.5</c:v>
                </c:pt>
                <c:pt idx="516">
                  <c:v>149.6</c:v>
                </c:pt>
                <c:pt idx="517">
                  <c:v>155.5</c:v>
                </c:pt>
                <c:pt idx="518">
                  <c:v>162.19999999999999</c:v>
                </c:pt>
                <c:pt idx="519">
                  <c:v>169.6</c:v>
                </c:pt>
                <c:pt idx="520">
                  <c:v>177.9</c:v>
                </c:pt>
                <c:pt idx="521">
                  <c:v>185.6</c:v>
                </c:pt>
                <c:pt idx="522">
                  <c:v>191.9</c:v>
                </c:pt>
                <c:pt idx="523">
                  <c:v>198.9</c:v>
                </c:pt>
                <c:pt idx="524">
                  <c:v>206.8</c:v>
                </c:pt>
                <c:pt idx="525">
                  <c:v>215.4</c:v>
                </c:pt>
                <c:pt idx="526">
                  <c:v>223.7</c:v>
                </c:pt>
                <c:pt idx="527">
                  <c:v>229</c:v>
                </c:pt>
                <c:pt idx="528">
                  <c:v>234.6</c:v>
                </c:pt>
                <c:pt idx="529">
                  <c:v>240.8</c:v>
                </c:pt>
                <c:pt idx="530">
                  <c:v>247.2</c:v>
                </c:pt>
                <c:pt idx="531">
                  <c:v>253.4</c:v>
                </c:pt>
                <c:pt idx="532">
                  <c:v>257.10000000000002</c:v>
                </c:pt>
                <c:pt idx="533">
                  <c:v>259.89999999999998</c:v>
                </c:pt>
                <c:pt idx="534">
                  <c:v>263.10000000000002</c:v>
                </c:pt>
                <c:pt idx="535">
                  <c:v>266.2</c:v>
                </c:pt>
                <c:pt idx="536">
                  <c:v>269</c:v>
                </c:pt>
                <c:pt idx="537">
                  <c:v>271</c:v>
                </c:pt>
                <c:pt idx="538">
                  <c:v>272.10000000000002</c:v>
                </c:pt>
                <c:pt idx="539">
                  <c:v>273.2</c:v>
                </c:pt>
                <c:pt idx="540">
                  <c:v>274.3</c:v>
                </c:pt>
                <c:pt idx="541">
                  <c:v>275.2</c:v>
                </c:pt>
                <c:pt idx="542">
                  <c:v>276</c:v>
                </c:pt>
                <c:pt idx="543">
                  <c:v>276.5</c:v>
                </c:pt>
                <c:pt idx="544">
                  <c:v>277</c:v>
                </c:pt>
                <c:pt idx="545">
                  <c:v>277.39999999999998</c:v>
                </c:pt>
                <c:pt idx="546">
                  <c:v>277.8</c:v>
                </c:pt>
                <c:pt idx="547">
                  <c:v>278.2</c:v>
                </c:pt>
                <c:pt idx="548">
                  <c:v>278.5</c:v>
                </c:pt>
                <c:pt idx="549">
                  <c:v>278.8</c:v>
                </c:pt>
                <c:pt idx="550">
                  <c:v>279</c:v>
                </c:pt>
                <c:pt idx="551">
                  <c:v>279.2</c:v>
                </c:pt>
                <c:pt idx="552">
                  <c:v>279.39999999999998</c:v>
                </c:pt>
                <c:pt idx="553">
                  <c:v>279.60000000000002</c:v>
                </c:pt>
                <c:pt idx="554">
                  <c:v>279.8</c:v>
                </c:pt>
                <c:pt idx="555">
                  <c:v>279.89999999999998</c:v>
                </c:pt>
                <c:pt idx="556">
                  <c:v>280</c:v>
                </c:pt>
                <c:pt idx="557">
                  <c:v>280.2</c:v>
                </c:pt>
                <c:pt idx="558">
                  <c:v>280.3</c:v>
                </c:pt>
                <c:pt idx="559">
                  <c:v>280.39999999999998</c:v>
                </c:pt>
                <c:pt idx="560">
                  <c:v>280.5</c:v>
                </c:pt>
                <c:pt idx="561">
                  <c:v>280.5</c:v>
                </c:pt>
                <c:pt idx="562">
                  <c:v>280.60000000000002</c:v>
                </c:pt>
                <c:pt idx="563">
                  <c:v>280.7</c:v>
                </c:pt>
                <c:pt idx="564">
                  <c:v>280.8</c:v>
                </c:pt>
                <c:pt idx="565">
                  <c:v>280.8</c:v>
                </c:pt>
                <c:pt idx="566">
                  <c:v>280.89999999999998</c:v>
                </c:pt>
                <c:pt idx="567">
                  <c:v>280.89999999999998</c:v>
                </c:pt>
                <c:pt idx="568">
                  <c:v>281</c:v>
                </c:pt>
                <c:pt idx="569">
                  <c:v>281</c:v>
                </c:pt>
                <c:pt idx="570">
                  <c:v>281.10000000000002</c:v>
                </c:pt>
                <c:pt idx="571">
                  <c:v>281.10000000000002</c:v>
                </c:pt>
                <c:pt idx="572">
                  <c:v>281.2</c:v>
                </c:pt>
                <c:pt idx="573">
                  <c:v>281.2</c:v>
                </c:pt>
                <c:pt idx="574">
                  <c:v>281.2</c:v>
                </c:pt>
                <c:pt idx="575">
                  <c:v>281.2</c:v>
                </c:pt>
                <c:pt idx="576">
                  <c:v>281.3</c:v>
                </c:pt>
                <c:pt idx="577">
                  <c:v>281.3</c:v>
                </c:pt>
                <c:pt idx="578">
                  <c:v>281.3</c:v>
                </c:pt>
                <c:pt idx="579">
                  <c:v>281.3</c:v>
                </c:pt>
                <c:pt idx="580">
                  <c:v>281.3</c:v>
                </c:pt>
                <c:pt idx="581">
                  <c:v>281.3</c:v>
                </c:pt>
                <c:pt idx="582">
                  <c:v>281.39999999999998</c:v>
                </c:pt>
                <c:pt idx="583">
                  <c:v>281.39999999999998</c:v>
                </c:pt>
                <c:pt idx="584">
                  <c:v>281.39999999999998</c:v>
                </c:pt>
                <c:pt idx="585">
                  <c:v>281.39999999999998</c:v>
                </c:pt>
                <c:pt idx="586">
                  <c:v>281.39999999999998</c:v>
                </c:pt>
                <c:pt idx="587">
                  <c:v>281.39999999999998</c:v>
                </c:pt>
                <c:pt idx="588">
                  <c:v>281.5</c:v>
                </c:pt>
                <c:pt idx="589">
                  <c:v>281.5</c:v>
                </c:pt>
                <c:pt idx="590">
                  <c:v>281.5</c:v>
                </c:pt>
                <c:pt idx="591">
                  <c:v>281.5</c:v>
                </c:pt>
                <c:pt idx="592">
                  <c:v>281.5</c:v>
                </c:pt>
                <c:pt idx="593">
                  <c:v>281.5</c:v>
                </c:pt>
                <c:pt idx="594">
                  <c:v>281.5</c:v>
                </c:pt>
                <c:pt idx="595">
                  <c:v>281.5</c:v>
                </c:pt>
                <c:pt idx="596">
                  <c:v>281.5</c:v>
                </c:pt>
                <c:pt idx="597">
                  <c:v>281.5</c:v>
                </c:pt>
                <c:pt idx="598">
                  <c:v>281.5</c:v>
                </c:pt>
                <c:pt idx="599">
                  <c:v>281.5</c:v>
                </c:pt>
                <c:pt idx="600">
                  <c:v>281.5</c:v>
                </c:pt>
                <c:pt idx="601">
                  <c:v>281.5</c:v>
                </c:pt>
                <c:pt idx="602">
                  <c:v>281.5</c:v>
                </c:pt>
                <c:pt idx="603">
                  <c:v>281.5</c:v>
                </c:pt>
                <c:pt idx="604">
                  <c:v>281.5</c:v>
                </c:pt>
                <c:pt idx="605">
                  <c:v>281.39999999999998</c:v>
                </c:pt>
                <c:pt idx="606">
                  <c:v>281.39999999999998</c:v>
                </c:pt>
                <c:pt idx="607">
                  <c:v>281.39999999999998</c:v>
                </c:pt>
                <c:pt idx="608">
                  <c:v>281.39999999999998</c:v>
                </c:pt>
                <c:pt idx="609">
                  <c:v>281.39999999999998</c:v>
                </c:pt>
                <c:pt idx="610">
                  <c:v>281.3</c:v>
                </c:pt>
                <c:pt idx="611">
                  <c:v>281.3</c:v>
                </c:pt>
                <c:pt idx="612">
                  <c:v>281.3</c:v>
                </c:pt>
                <c:pt idx="613">
                  <c:v>281.2</c:v>
                </c:pt>
                <c:pt idx="614">
                  <c:v>281.2</c:v>
                </c:pt>
                <c:pt idx="615">
                  <c:v>281.10000000000002</c:v>
                </c:pt>
                <c:pt idx="616">
                  <c:v>281</c:v>
                </c:pt>
                <c:pt idx="617">
                  <c:v>280.89999999999998</c:v>
                </c:pt>
                <c:pt idx="618">
                  <c:v>280.8</c:v>
                </c:pt>
                <c:pt idx="619">
                  <c:v>280.7</c:v>
                </c:pt>
                <c:pt idx="620">
                  <c:v>280.60000000000002</c:v>
                </c:pt>
                <c:pt idx="621">
                  <c:v>280.5</c:v>
                </c:pt>
                <c:pt idx="622">
                  <c:v>280.3</c:v>
                </c:pt>
                <c:pt idx="623">
                  <c:v>280.2</c:v>
                </c:pt>
                <c:pt idx="624">
                  <c:v>280</c:v>
                </c:pt>
                <c:pt idx="625">
                  <c:v>279.8</c:v>
                </c:pt>
                <c:pt idx="626">
                  <c:v>279.60000000000002</c:v>
                </c:pt>
                <c:pt idx="627">
                  <c:v>279.39999999999998</c:v>
                </c:pt>
                <c:pt idx="628">
                  <c:v>279.10000000000002</c:v>
                </c:pt>
                <c:pt idx="629">
                  <c:v>278.8</c:v>
                </c:pt>
                <c:pt idx="630">
                  <c:v>278.5</c:v>
                </c:pt>
                <c:pt idx="631">
                  <c:v>278.2</c:v>
                </c:pt>
                <c:pt idx="632">
                  <c:v>277.8</c:v>
                </c:pt>
                <c:pt idx="633">
                  <c:v>277.39999999999998</c:v>
                </c:pt>
                <c:pt idx="634">
                  <c:v>276.89999999999998</c:v>
                </c:pt>
                <c:pt idx="635">
                  <c:v>276.3</c:v>
                </c:pt>
                <c:pt idx="636">
                  <c:v>275.7</c:v>
                </c:pt>
                <c:pt idx="637">
                  <c:v>275</c:v>
                </c:pt>
                <c:pt idx="638">
                  <c:v>273.89999999999998</c:v>
                </c:pt>
                <c:pt idx="639">
                  <c:v>272.5</c:v>
                </c:pt>
                <c:pt idx="640">
                  <c:v>270.89999999999998</c:v>
                </c:pt>
                <c:pt idx="641">
                  <c:v>269.3</c:v>
                </c:pt>
                <c:pt idx="642">
                  <c:v>267.7</c:v>
                </c:pt>
                <c:pt idx="643">
                  <c:v>264.89999999999998</c:v>
                </c:pt>
                <c:pt idx="644">
                  <c:v>261.2</c:v>
                </c:pt>
                <c:pt idx="645">
                  <c:v>257.2</c:v>
                </c:pt>
                <c:pt idx="646">
                  <c:v>253.3</c:v>
                </c:pt>
                <c:pt idx="647">
                  <c:v>249.6</c:v>
                </c:pt>
                <c:pt idx="648">
                  <c:v>245.1</c:v>
                </c:pt>
                <c:pt idx="649">
                  <c:v>238.4</c:v>
                </c:pt>
                <c:pt idx="650">
                  <c:v>231.7</c:v>
                </c:pt>
                <c:pt idx="651">
                  <c:v>225.4</c:v>
                </c:pt>
                <c:pt idx="652">
                  <c:v>219.7</c:v>
                </c:pt>
                <c:pt idx="653">
                  <c:v>214.2</c:v>
                </c:pt>
                <c:pt idx="654">
                  <c:v>206.5</c:v>
                </c:pt>
                <c:pt idx="655">
                  <c:v>198.8</c:v>
                </c:pt>
                <c:pt idx="656">
                  <c:v>191.7</c:v>
                </c:pt>
                <c:pt idx="657">
                  <c:v>185.4</c:v>
                </c:pt>
                <c:pt idx="658">
                  <c:v>179.6</c:v>
                </c:pt>
                <c:pt idx="659">
                  <c:v>173</c:v>
                </c:pt>
                <c:pt idx="660">
                  <c:v>166.1</c:v>
                </c:pt>
                <c:pt idx="661">
                  <c:v>159.9</c:v>
                </c:pt>
                <c:pt idx="662">
                  <c:v>154.30000000000001</c:v>
                </c:pt>
                <c:pt idx="663">
                  <c:v>149.19999999999999</c:v>
                </c:pt>
                <c:pt idx="664">
                  <c:v>144.1</c:v>
                </c:pt>
                <c:pt idx="665">
                  <c:v>138.9</c:v>
                </c:pt>
                <c:pt idx="666">
                  <c:v>134.1</c:v>
                </c:pt>
                <c:pt idx="667">
                  <c:v>129.69999999999999</c:v>
                </c:pt>
                <c:pt idx="668">
                  <c:v>125.6</c:v>
                </c:pt>
                <c:pt idx="669">
                  <c:v>121.9</c:v>
                </c:pt>
                <c:pt idx="670">
                  <c:v>118.1</c:v>
                </c:pt>
                <c:pt idx="671">
                  <c:v>114.5</c:v>
                </c:pt>
                <c:pt idx="672">
                  <c:v>111.2</c:v>
                </c:pt>
                <c:pt idx="673">
                  <c:v>108.2</c:v>
                </c:pt>
                <c:pt idx="674">
                  <c:v>105.3</c:v>
                </c:pt>
                <c:pt idx="675">
                  <c:v>102.6</c:v>
                </c:pt>
                <c:pt idx="676">
                  <c:v>100</c:v>
                </c:pt>
                <c:pt idx="677">
                  <c:v>97.5</c:v>
                </c:pt>
                <c:pt idx="678">
                  <c:v>95.2</c:v>
                </c:pt>
                <c:pt idx="679">
                  <c:v>93</c:v>
                </c:pt>
                <c:pt idx="680">
                  <c:v>90.9</c:v>
                </c:pt>
                <c:pt idx="681">
                  <c:v>88.9</c:v>
                </c:pt>
                <c:pt idx="682">
                  <c:v>87</c:v>
                </c:pt>
                <c:pt idx="683">
                  <c:v>85.2</c:v>
                </c:pt>
                <c:pt idx="684">
                  <c:v>83.4</c:v>
                </c:pt>
                <c:pt idx="685">
                  <c:v>81.8</c:v>
                </c:pt>
                <c:pt idx="686">
                  <c:v>80.2</c:v>
                </c:pt>
                <c:pt idx="687">
                  <c:v>78.7</c:v>
                </c:pt>
                <c:pt idx="688">
                  <c:v>77.3</c:v>
                </c:pt>
                <c:pt idx="689">
                  <c:v>75.900000000000006</c:v>
                </c:pt>
                <c:pt idx="690">
                  <c:v>74.599999999999994</c:v>
                </c:pt>
                <c:pt idx="691">
                  <c:v>73.3</c:v>
                </c:pt>
                <c:pt idx="692">
                  <c:v>72.099999999999994</c:v>
                </c:pt>
                <c:pt idx="693">
                  <c:v>70.900000000000006</c:v>
                </c:pt>
                <c:pt idx="694">
                  <c:v>69.8</c:v>
                </c:pt>
                <c:pt idx="695">
                  <c:v>68.7</c:v>
                </c:pt>
                <c:pt idx="696">
                  <c:v>67.599999999999994</c:v>
                </c:pt>
                <c:pt idx="697">
                  <c:v>66.599999999999994</c:v>
                </c:pt>
                <c:pt idx="698">
                  <c:v>65.599999999999994</c:v>
                </c:pt>
                <c:pt idx="699">
                  <c:v>64.599999999999994</c:v>
                </c:pt>
                <c:pt idx="700">
                  <c:v>63.7</c:v>
                </c:pt>
                <c:pt idx="701">
                  <c:v>62.8</c:v>
                </c:pt>
                <c:pt idx="702">
                  <c:v>61.9</c:v>
                </c:pt>
                <c:pt idx="703">
                  <c:v>61.1</c:v>
                </c:pt>
                <c:pt idx="704">
                  <c:v>60.3</c:v>
                </c:pt>
                <c:pt idx="705">
                  <c:v>59.5</c:v>
                </c:pt>
                <c:pt idx="706">
                  <c:v>58.7</c:v>
                </c:pt>
                <c:pt idx="707">
                  <c:v>57.9</c:v>
                </c:pt>
                <c:pt idx="708">
                  <c:v>57.2</c:v>
                </c:pt>
                <c:pt idx="709">
                  <c:v>56.5</c:v>
                </c:pt>
                <c:pt idx="710">
                  <c:v>55.8</c:v>
                </c:pt>
                <c:pt idx="711">
                  <c:v>55.1</c:v>
                </c:pt>
                <c:pt idx="712">
                  <c:v>54.5</c:v>
                </c:pt>
                <c:pt idx="713">
                  <c:v>53.8</c:v>
                </c:pt>
                <c:pt idx="714">
                  <c:v>53.2</c:v>
                </c:pt>
                <c:pt idx="715">
                  <c:v>52.6</c:v>
                </c:pt>
                <c:pt idx="716">
                  <c:v>52</c:v>
                </c:pt>
                <c:pt idx="717">
                  <c:v>51.5</c:v>
                </c:pt>
                <c:pt idx="718">
                  <c:v>50.9</c:v>
                </c:pt>
                <c:pt idx="719">
                  <c:v>50.4</c:v>
                </c:pt>
                <c:pt idx="720">
                  <c:v>49.8</c:v>
                </c:pt>
                <c:pt idx="721">
                  <c:v>49.3</c:v>
                </c:pt>
                <c:pt idx="722">
                  <c:v>48.8</c:v>
                </c:pt>
                <c:pt idx="723">
                  <c:v>48.3</c:v>
                </c:pt>
                <c:pt idx="724">
                  <c:v>47.9</c:v>
                </c:pt>
                <c:pt idx="725">
                  <c:v>47.4</c:v>
                </c:pt>
                <c:pt idx="726">
                  <c:v>46.9</c:v>
                </c:pt>
                <c:pt idx="727">
                  <c:v>46.5</c:v>
                </c:pt>
                <c:pt idx="728">
                  <c:v>46.1</c:v>
                </c:pt>
                <c:pt idx="729">
                  <c:v>45.7</c:v>
                </c:pt>
                <c:pt idx="730">
                  <c:v>45.2</c:v>
                </c:pt>
                <c:pt idx="731">
                  <c:v>44.8</c:v>
                </c:pt>
                <c:pt idx="732">
                  <c:v>44.4</c:v>
                </c:pt>
                <c:pt idx="733">
                  <c:v>44.1</c:v>
                </c:pt>
                <c:pt idx="734">
                  <c:v>43.7</c:v>
                </c:pt>
                <c:pt idx="735">
                  <c:v>43.3</c:v>
                </c:pt>
                <c:pt idx="736">
                  <c:v>43</c:v>
                </c:pt>
                <c:pt idx="737">
                  <c:v>42.6</c:v>
                </c:pt>
                <c:pt idx="738">
                  <c:v>42.3</c:v>
                </c:pt>
                <c:pt idx="739">
                  <c:v>41.9</c:v>
                </c:pt>
                <c:pt idx="740">
                  <c:v>41.6</c:v>
                </c:pt>
                <c:pt idx="741">
                  <c:v>41.3</c:v>
                </c:pt>
                <c:pt idx="742">
                  <c:v>41</c:v>
                </c:pt>
                <c:pt idx="743">
                  <c:v>40.700000000000003</c:v>
                </c:pt>
                <c:pt idx="744">
                  <c:v>40.4</c:v>
                </c:pt>
                <c:pt idx="745">
                  <c:v>40.1</c:v>
                </c:pt>
                <c:pt idx="746">
                  <c:v>39.799999999999997</c:v>
                </c:pt>
                <c:pt idx="747">
                  <c:v>39.5</c:v>
                </c:pt>
                <c:pt idx="748">
                  <c:v>39.299999999999997</c:v>
                </c:pt>
                <c:pt idx="749">
                  <c:v>39</c:v>
                </c:pt>
                <c:pt idx="750">
                  <c:v>38.700000000000003</c:v>
                </c:pt>
                <c:pt idx="751">
                  <c:v>38.5</c:v>
                </c:pt>
                <c:pt idx="752">
                  <c:v>38.200000000000003</c:v>
                </c:pt>
                <c:pt idx="753">
                  <c:v>38</c:v>
                </c:pt>
                <c:pt idx="754">
                  <c:v>37.799999999999997</c:v>
                </c:pt>
                <c:pt idx="755">
                  <c:v>37.5</c:v>
                </c:pt>
                <c:pt idx="756">
                  <c:v>37.299999999999997</c:v>
                </c:pt>
                <c:pt idx="757">
                  <c:v>37.1</c:v>
                </c:pt>
                <c:pt idx="758">
                  <c:v>36.799999999999997</c:v>
                </c:pt>
                <c:pt idx="759">
                  <c:v>36.6</c:v>
                </c:pt>
                <c:pt idx="760">
                  <c:v>36.4</c:v>
                </c:pt>
                <c:pt idx="761">
                  <c:v>36.200000000000003</c:v>
                </c:pt>
                <c:pt idx="762">
                  <c:v>36</c:v>
                </c:pt>
                <c:pt idx="763">
                  <c:v>35.799999999999997</c:v>
                </c:pt>
                <c:pt idx="764">
                  <c:v>35.6</c:v>
                </c:pt>
                <c:pt idx="765">
                  <c:v>35.4</c:v>
                </c:pt>
                <c:pt idx="766">
                  <c:v>35.200000000000003</c:v>
                </c:pt>
                <c:pt idx="767">
                  <c:v>35.1</c:v>
                </c:pt>
                <c:pt idx="768">
                  <c:v>34.9</c:v>
                </c:pt>
                <c:pt idx="769">
                  <c:v>34.700000000000003</c:v>
                </c:pt>
                <c:pt idx="770">
                  <c:v>34.5</c:v>
                </c:pt>
                <c:pt idx="771">
                  <c:v>34.4</c:v>
                </c:pt>
                <c:pt idx="772">
                  <c:v>34.200000000000003</c:v>
                </c:pt>
                <c:pt idx="773">
                  <c:v>34</c:v>
                </c:pt>
                <c:pt idx="774">
                  <c:v>33.9</c:v>
                </c:pt>
                <c:pt idx="775">
                  <c:v>33.700000000000003</c:v>
                </c:pt>
                <c:pt idx="776">
                  <c:v>33.6</c:v>
                </c:pt>
                <c:pt idx="777">
                  <c:v>33.4</c:v>
                </c:pt>
                <c:pt idx="778">
                  <c:v>33.299999999999997</c:v>
                </c:pt>
                <c:pt idx="779">
                  <c:v>33.1</c:v>
                </c:pt>
                <c:pt idx="780">
                  <c:v>33</c:v>
                </c:pt>
                <c:pt idx="781">
                  <c:v>32.799999999999997</c:v>
                </c:pt>
                <c:pt idx="782">
                  <c:v>32.700000000000003</c:v>
                </c:pt>
                <c:pt idx="783">
                  <c:v>32.6</c:v>
                </c:pt>
                <c:pt idx="784">
                  <c:v>32.4</c:v>
                </c:pt>
                <c:pt idx="785">
                  <c:v>32.299999999999997</c:v>
                </c:pt>
                <c:pt idx="786">
                  <c:v>32.200000000000003</c:v>
                </c:pt>
                <c:pt idx="787">
                  <c:v>32.1</c:v>
                </c:pt>
                <c:pt idx="788">
                  <c:v>32</c:v>
                </c:pt>
                <c:pt idx="789">
                  <c:v>31.8</c:v>
                </c:pt>
                <c:pt idx="790">
                  <c:v>31.7</c:v>
                </c:pt>
                <c:pt idx="791">
                  <c:v>31.6</c:v>
                </c:pt>
                <c:pt idx="792">
                  <c:v>31.5</c:v>
                </c:pt>
                <c:pt idx="793">
                  <c:v>31.4</c:v>
                </c:pt>
                <c:pt idx="794">
                  <c:v>31.3</c:v>
                </c:pt>
                <c:pt idx="795">
                  <c:v>31.2</c:v>
                </c:pt>
                <c:pt idx="796">
                  <c:v>31.1</c:v>
                </c:pt>
                <c:pt idx="797">
                  <c:v>31</c:v>
                </c:pt>
                <c:pt idx="798">
                  <c:v>30.9</c:v>
                </c:pt>
                <c:pt idx="799">
                  <c:v>30.8</c:v>
                </c:pt>
                <c:pt idx="800">
                  <c:v>30.7</c:v>
                </c:pt>
                <c:pt idx="801">
                  <c:v>30.6</c:v>
                </c:pt>
                <c:pt idx="802">
                  <c:v>30.5</c:v>
                </c:pt>
                <c:pt idx="803">
                  <c:v>30.4</c:v>
                </c:pt>
                <c:pt idx="804">
                  <c:v>30.3</c:v>
                </c:pt>
                <c:pt idx="805">
                  <c:v>30.2</c:v>
                </c:pt>
                <c:pt idx="806">
                  <c:v>30.1</c:v>
                </c:pt>
                <c:pt idx="807">
                  <c:v>30.1</c:v>
                </c:pt>
                <c:pt idx="808">
                  <c:v>30</c:v>
                </c:pt>
                <c:pt idx="809">
                  <c:v>29.9</c:v>
                </c:pt>
                <c:pt idx="810">
                  <c:v>29.8</c:v>
                </c:pt>
                <c:pt idx="811">
                  <c:v>29.7</c:v>
                </c:pt>
                <c:pt idx="812">
                  <c:v>29.7</c:v>
                </c:pt>
                <c:pt idx="813">
                  <c:v>29.6</c:v>
                </c:pt>
                <c:pt idx="814">
                  <c:v>29.5</c:v>
                </c:pt>
                <c:pt idx="815">
                  <c:v>29.5</c:v>
                </c:pt>
                <c:pt idx="816">
                  <c:v>29.4</c:v>
                </c:pt>
                <c:pt idx="817">
                  <c:v>29.3</c:v>
                </c:pt>
                <c:pt idx="818">
                  <c:v>29.3</c:v>
                </c:pt>
                <c:pt idx="819">
                  <c:v>29.2</c:v>
                </c:pt>
                <c:pt idx="820">
                  <c:v>29.1</c:v>
                </c:pt>
                <c:pt idx="821">
                  <c:v>29.1</c:v>
                </c:pt>
                <c:pt idx="822">
                  <c:v>29</c:v>
                </c:pt>
                <c:pt idx="823">
                  <c:v>28.9</c:v>
                </c:pt>
                <c:pt idx="824">
                  <c:v>28.9</c:v>
                </c:pt>
                <c:pt idx="825">
                  <c:v>28.8</c:v>
                </c:pt>
                <c:pt idx="826">
                  <c:v>28.8</c:v>
                </c:pt>
                <c:pt idx="827">
                  <c:v>28.7</c:v>
                </c:pt>
                <c:pt idx="828">
                  <c:v>28.7</c:v>
                </c:pt>
                <c:pt idx="829">
                  <c:v>28.6</c:v>
                </c:pt>
                <c:pt idx="830">
                  <c:v>28.6</c:v>
                </c:pt>
                <c:pt idx="831">
                  <c:v>28.5</c:v>
                </c:pt>
                <c:pt idx="832">
                  <c:v>28.5</c:v>
                </c:pt>
                <c:pt idx="833">
                  <c:v>28.4</c:v>
                </c:pt>
                <c:pt idx="834">
                  <c:v>28.4</c:v>
                </c:pt>
                <c:pt idx="835">
                  <c:v>28.3</c:v>
                </c:pt>
                <c:pt idx="836">
                  <c:v>28.3</c:v>
                </c:pt>
                <c:pt idx="837">
                  <c:v>28.2</c:v>
                </c:pt>
                <c:pt idx="838">
                  <c:v>28.2</c:v>
                </c:pt>
                <c:pt idx="839">
                  <c:v>28.2</c:v>
                </c:pt>
                <c:pt idx="840">
                  <c:v>28.1</c:v>
                </c:pt>
                <c:pt idx="841">
                  <c:v>28.1</c:v>
                </c:pt>
                <c:pt idx="842">
                  <c:v>28</c:v>
                </c:pt>
                <c:pt idx="843">
                  <c:v>28</c:v>
                </c:pt>
                <c:pt idx="844">
                  <c:v>28</c:v>
                </c:pt>
                <c:pt idx="845">
                  <c:v>27.9</c:v>
                </c:pt>
                <c:pt idx="846">
                  <c:v>27.9</c:v>
                </c:pt>
                <c:pt idx="847">
                  <c:v>27.9</c:v>
                </c:pt>
                <c:pt idx="848">
                  <c:v>27.8</c:v>
                </c:pt>
                <c:pt idx="849">
                  <c:v>27.8</c:v>
                </c:pt>
                <c:pt idx="850">
                  <c:v>27.8</c:v>
                </c:pt>
                <c:pt idx="851">
                  <c:v>27.7</c:v>
                </c:pt>
                <c:pt idx="852">
                  <c:v>27.7</c:v>
                </c:pt>
                <c:pt idx="853">
                  <c:v>27.7</c:v>
                </c:pt>
                <c:pt idx="854">
                  <c:v>27.6</c:v>
                </c:pt>
                <c:pt idx="855">
                  <c:v>27.6</c:v>
                </c:pt>
                <c:pt idx="856">
                  <c:v>27.6</c:v>
                </c:pt>
                <c:pt idx="857">
                  <c:v>27.6</c:v>
                </c:pt>
                <c:pt idx="858">
                  <c:v>27.5</c:v>
                </c:pt>
                <c:pt idx="859">
                  <c:v>27.5</c:v>
                </c:pt>
                <c:pt idx="860">
                  <c:v>27.5</c:v>
                </c:pt>
                <c:pt idx="861">
                  <c:v>27.5</c:v>
                </c:pt>
                <c:pt idx="862">
                  <c:v>27.4</c:v>
                </c:pt>
                <c:pt idx="863">
                  <c:v>27.4</c:v>
                </c:pt>
                <c:pt idx="864">
                  <c:v>27.4</c:v>
                </c:pt>
                <c:pt idx="865">
                  <c:v>27.4</c:v>
                </c:pt>
                <c:pt idx="866">
                  <c:v>27.4</c:v>
                </c:pt>
                <c:pt idx="867">
                  <c:v>27.4</c:v>
                </c:pt>
                <c:pt idx="868">
                  <c:v>27.3</c:v>
                </c:pt>
                <c:pt idx="869">
                  <c:v>27.3</c:v>
                </c:pt>
                <c:pt idx="870">
                  <c:v>27.3</c:v>
                </c:pt>
                <c:pt idx="871">
                  <c:v>27.3</c:v>
                </c:pt>
                <c:pt idx="872">
                  <c:v>27.3</c:v>
                </c:pt>
                <c:pt idx="873">
                  <c:v>27.3</c:v>
                </c:pt>
                <c:pt idx="874">
                  <c:v>27.2</c:v>
                </c:pt>
                <c:pt idx="875">
                  <c:v>27.2</c:v>
                </c:pt>
                <c:pt idx="876">
                  <c:v>27.2</c:v>
                </c:pt>
                <c:pt idx="877">
                  <c:v>27.2</c:v>
                </c:pt>
                <c:pt idx="878">
                  <c:v>27.2</c:v>
                </c:pt>
                <c:pt idx="879">
                  <c:v>27.2</c:v>
                </c:pt>
                <c:pt idx="880">
                  <c:v>27.2</c:v>
                </c:pt>
                <c:pt idx="881">
                  <c:v>27.2</c:v>
                </c:pt>
                <c:pt idx="882">
                  <c:v>27.2</c:v>
                </c:pt>
                <c:pt idx="883">
                  <c:v>27.2</c:v>
                </c:pt>
                <c:pt idx="884">
                  <c:v>27.1</c:v>
                </c:pt>
                <c:pt idx="885">
                  <c:v>27.1</c:v>
                </c:pt>
                <c:pt idx="886">
                  <c:v>27.1</c:v>
                </c:pt>
                <c:pt idx="887">
                  <c:v>27.1</c:v>
                </c:pt>
                <c:pt idx="888">
                  <c:v>27.1</c:v>
                </c:pt>
                <c:pt idx="889">
                  <c:v>27.1</c:v>
                </c:pt>
                <c:pt idx="890">
                  <c:v>27.1</c:v>
                </c:pt>
                <c:pt idx="891">
                  <c:v>27.1</c:v>
                </c:pt>
                <c:pt idx="892">
                  <c:v>27.1</c:v>
                </c:pt>
                <c:pt idx="893">
                  <c:v>27.1</c:v>
                </c:pt>
                <c:pt idx="894">
                  <c:v>27.1</c:v>
                </c:pt>
                <c:pt idx="895">
                  <c:v>27.1</c:v>
                </c:pt>
                <c:pt idx="896">
                  <c:v>27.1</c:v>
                </c:pt>
                <c:pt idx="897">
                  <c:v>27.1</c:v>
                </c:pt>
                <c:pt idx="898">
                  <c:v>27.1</c:v>
                </c:pt>
                <c:pt idx="899">
                  <c:v>27.1</c:v>
                </c:pt>
                <c:pt idx="900">
                  <c:v>27.1</c:v>
                </c:pt>
                <c:pt idx="901">
                  <c:v>27.1</c:v>
                </c:pt>
                <c:pt idx="902">
                  <c:v>27.1</c:v>
                </c:pt>
                <c:pt idx="903">
                  <c:v>27.1</c:v>
                </c:pt>
                <c:pt idx="904">
                  <c:v>27.1</c:v>
                </c:pt>
                <c:pt idx="905">
                  <c:v>27.1</c:v>
                </c:pt>
                <c:pt idx="906">
                  <c:v>27.1</c:v>
                </c:pt>
                <c:pt idx="907">
                  <c:v>27.1</c:v>
                </c:pt>
                <c:pt idx="908">
                  <c:v>27.1</c:v>
                </c:pt>
                <c:pt idx="909">
                  <c:v>27.1</c:v>
                </c:pt>
                <c:pt idx="910">
                  <c:v>27.1</c:v>
                </c:pt>
                <c:pt idx="911">
                  <c:v>27.2</c:v>
                </c:pt>
                <c:pt idx="912">
                  <c:v>27.2</c:v>
                </c:pt>
                <c:pt idx="913">
                  <c:v>27.2</c:v>
                </c:pt>
                <c:pt idx="914">
                  <c:v>27.2</c:v>
                </c:pt>
                <c:pt idx="915">
                  <c:v>27.2</c:v>
                </c:pt>
                <c:pt idx="916">
                  <c:v>27.2</c:v>
                </c:pt>
                <c:pt idx="917">
                  <c:v>27.2</c:v>
                </c:pt>
                <c:pt idx="918">
                  <c:v>27.2</c:v>
                </c:pt>
                <c:pt idx="919">
                  <c:v>27.2</c:v>
                </c:pt>
                <c:pt idx="920">
                  <c:v>27.2</c:v>
                </c:pt>
                <c:pt idx="921">
                  <c:v>27.2</c:v>
                </c:pt>
                <c:pt idx="922">
                  <c:v>27.3</c:v>
                </c:pt>
                <c:pt idx="923">
                  <c:v>27.3</c:v>
                </c:pt>
                <c:pt idx="924">
                  <c:v>27.3</c:v>
                </c:pt>
                <c:pt idx="925">
                  <c:v>27.3</c:v>
                </c:pt>
                <c:pt idx="926">
                  <c:v>27.3</c:v>
                </c:pt>
                <c:pt idx="927">
                  <c:v>27.3</c:v>
                </c:pt>
                <c:pt idx="928">
                  <c:v>27.3</c:v>
                </c:pt>
                <c:pt idx="929">
                  <c:v>27.4</c:v>
                </c:pt>
                <c:pt idx="930">
                  <c:v>27.4</c:v>
                </c:pt>
                <c:pt idx="931">
                  <c:v>27.4</c:v>
                </c:pt>
                <c:pt idx="932">
                  <c:v>27.4</c:v>
                </c:pt>
                <c:pt idx="933">
                  <c:v>27.4</c:v>
                </c:pt>
                <c:pt idx="934">
                  <c:v>27.4</c:v>
                </c:pt>
                <c:pt idx="935">
                  <c:v>27.5</c:v>
                </c:pt>
                <c:pt idx="936">
                  <c:v>27.5</c:v>
                </c:pt>
                <c:pt idx="937">
                  <c:v>27.5</c:v>
                </c:pt>
                <c:pt idx="938">
                  <c:v>27.5</c:v>
                </c:pt>
                <c:pt idx="939">
                  <c:v>27.5</c:v>
                </c:pt>
                <c:pt idx="940">
                  <c:v>27.6</c:v>
                </c:pt>
                <c:pt idx="941">
                  <c:v>27.6</c:v>
                </c:pt>
                <c:pt idx="942">
                  <c:v>27.6</c:v>
                </c:pt>
                <c:pt idx="943">
                  <c:v>27.6</c:v>
                </c:pt>
                <c:pt idx="944">
                  <c:v>27.6</c:v>
                </c:pt>
                <c:pt idx="945">
                  <c:v>27.7</c:v>
                </c:pt>
                <c:pt idx="946">
                  <c:v>27.7</c:v>
                </c:pt>
                <c:pt idx="947">
                  <c:v>27.7</c:v>
                </c:pt>
                <c:pt idx="948">
                  <c:v>27.7</c:v>
                </c:pt>
                <c:pt idx="949">
                  <c:v>27.8</c:v>
                </c:pt>
                <c:pt idx="950">
                  <c:v>27.8</c:v>
                </c:pt>
                <c:pt idx="951">
                  <c:v>27.8</c:v>
                </c:pt>
                <c:pt idx="952">
                  <c:v>27.8</c:v>
                </c:pt>
                <c:pt idx="953">
                  <c:v>27.9</c:v>
                </c:pt>
                <c:pt idx="954">
                  <c:v>27.9</c:v>
                </c:pt>
                <c:pt idx="955">
                  <c:v>27.9</c:v>
                </c:pt>
                <c:pt idx="956">
                  <c:v>27.9</c:v>
                </c:pt>
                <c:pt idx="957">
                  <c:v>28</c:v>
                </c:pt>
                <c:pt idx="958">
                  <c:v>28</c:v>
                </c:pt>
                <c:pt idx="959">
                  <c:v>28</c:v>
                </c:pt>
                <c:pt idx="960">
                  <c:v>28.1</c:v>
                </c:pt>
                <c:pt idx="961">
                  <c:v>28.1</c:v>
                </c:pt>
                <c:pt idx="962">
                  <c:v>28.1</c:v>
                </c:pt>
                <c:pt idx="963">
                  <c:v>28.2</c:v>
                </c:pt>
                <c:pt idx="964">
                  <c:v>28.2</c:v>
                </c:pt>
                <c:pt idx="965">
                  <c:v>28.2</c:v>
                </c:pt>
                <c:pt idx="966">
                  <c:v>28.3</c:v>
                </c:pt>
                <c:pt idx="967">
                  <c:v>28.3</c:v>
                </c:pt>
                <c:pt idx="968">
                  <c:v>28.3</c:v>
                </c:pt>
                <c:pt idx="969">
                  <c:v>28.4</c:v>
                </c:pt>
                <c:pt idx="970">
                  <c:v>28.4</c:v>
                </c:pt>
                <c:pt idx="971">
                  <c:v>28.4</c:v>
                </c:pt>
                <c:pt idx="972">
                  <c:v>28.5</c:v>
                </c:pt>
                <c:pt idx="973">
                  <c:v>28.5</c:v>
                </c:pt>
                <c:pt idx="974">
                  <c:v>28.5</c:v>
                </c:pt>
                <c:pt idx="975">
                  <c:v>28.6</c:v>
                </c:pt>
                <c:pt idx="976">
                  <c:v>28.6</c:v>
                </c:pt>
                <c:pt idx="977">
                  <c:v>28.6</c:v>
                </c:pt>
                <c:pt idx="978">
                  <c:v>28.7</c:v>
                </c:pt>
                <c:pt idx="979">
                  <c:v>28.7</c:v>
                </c:pt>
                <c:pt idx="980">
                  <c:v>28.8</c:v>
                </c:pt>
                <c:pt idx="981">
                  <c:v>28.8</c:v>
                </c:pt>
                <c:pt idx="982">
                  <c:v>28.9</c:v>
                </c:pt>
                <c:pt idx="983">
                  <c:v>28.9</c:v>
                </c:pt>
                <c:pt idx="984">
                  <c:v>28.9</c:v>
                </c:pt>
                <c:pt idx="985">
                  <c:v>29</c:v>
                </c:pt>
                <c:pt idx="986">
                  <c:v>29</c:v>
                </c:pt>
                <c:pt idx="987">
                  <c:v>29.1</c:v>
                </c:pt>
                <c:pt idx="988">
                  <c:v>29.1</c:v>
                </c:pt>
                <c:pt idx="989">
                  <c:v>29.2</c:v>
                </c:pt>
                <c:pt idx="990">
                  <c:v>29.2</c:v>
                </c:pt>
                <c:pt idx="991">
                  <c:v>29.3</c:v>
                </c:pt>
                <c:pt idx="992">
                  <c:v>29.3</c:v>
                </c:pt>
                <c:pt idx="993">
                  <c:v>29.3</c:v>
                </c:pt>
                <c:pt idx="994">
                  <c:v>29.4</c:v>
                </c:pt>
                <c:pt idx="995">
                  <c:v>29.4</c:v>
                </c:pt>
                <c:pt idx="996">
                  <c:v>29.5</c:v>
                </c:pt>
                <c:pt idx="997">
                  <c:v>29.5</c:v>
                </c:pt>
                <c:pt idx="998">
                  <c:v>29.6</c:v>
                </c:pt>
                <c:pt idx="999">
                  <c:v>29.6</c:v>
                </c:pt>
                <c:pt idx="1000">
                  <c:v>29.7</c:v>
                </c:pt>
                <c:pt idx="1001">
                  <c:v>29.8</c:v>
                </c:pt>
                <c:pt idx="1002">
                  <c:v>29.8</c:v>
                </c:pt>
                <c:pt idx="1003">
                  <c:v>29.9</c:v>
                </c:pt>
                <c:pt idx="1004">
                  <c:v>29.9</c:v>
                </c:pt>
                <c:pt idx="1005">
                  <c:v>30</c:v>
                </c:pt>
                <c:pt idx="1006">
                  <c:v>30</c:v>
                </c:pt>
                <c:pt idx="1007">
                  <c:v>30.1</c:v>
                </c:pt>
                <c:pt idx="1008">
                  <c:v>30.2</c:v>
                </c:pt>
                <c:pt idx="1009">
                  <c:v>30.2</c:v>
                </c:pt>
                <c:pt idx="1010">
                  <c:v>30.3</c:v>
                </c:pt>
                <c:pt idx="1011">
                  <c:v>30.3</c:v>
                </c:pt>
                <c:pt idx="1012">
                  <c:v>30.4</c:v>
                </c:pt>
                <c:pt idx="1013">
                  <c:v>30.5</c:v>
                </c:pt>
                <c:pt idx="1014">
                  <c:v>30.5</c:v>
                </c:pt>
                <c:pt idx="1015">
                  <c:v>30.6</c:v>
                </c:pt>
                <c:pt idx="1016">
                  <c:v>30.7</c:v>
                </c:pt>
                <c:pt idx="1017">
                  <c:v>30.7</c:v>
                </c:pt>
                <c:pt idx="1018">
                  <c:v>30.8</c:v>
                </c:pt>
                <c:pt idx="1019">
                  <c:v>30.9</c:v>
                </c:pt>
                <c:pt idx="1020">
                  <c:v>30.9</c:v>
                </c:pt>
                <c:pt idx="1021">
                  <c:v>31</c:v>
                </c:pt>
                <c:pt idx="1022">
                  <c:v>31.1</c:v>
                </c:pt>
                <c:pt idx="1023">
                  <c:v>31.2</c:v>
                </c:pt>
                <c:pt idx="1024">
                  <c:v>31.2</c:v>
                </c:pt>
                <c:pt idx="1025">
                  <c:v>31.3</c:v>
                </c:pt>
                <c:pt idx="1026">
                  <c:v>31.4</c:v>
                </c:pt>
                <c:pt idx="1027">
                  <c:v>31.5</c:v>
                </c:pt>
                <c:pt idx="1028">
                  <c:v>31.5</c:v>
                </c:pt>
                <c:pt idx="1029">
                  <c:v>31.6</c:v>
                </c:pt>
                <c:pt idx="1030">
                  <c:v>31.7</c:v>
                </c:pt>
                <c:pt idx="1031">
                  <c:v>31.8</c:v>
                </c:pt>
                <c:pt idx="1032">
                  <c:v>31.9</c:v>
                </c:pt>
                <c:pt idx="1033">
                  <c:v>32</c:v>
                </c:pt>
                <c:pt idx="1034">
                  <c:v>32</c:v>
                </c:pt>
                <c:pt idx="1035">
                  <c:v>32.1</c:v>
                </c:pt>
                <c:pt idx="1036">
                  <c:v>32.200000000000003</c:v>
                </c:pt>
                <c:pt idx="1037">
                  <c:v>32.299999999999997</c:v>
                </c:pt>
                <c:pt idx="1038">
                  <c:v>32.4</c:v>
                </c:pt>
                <c:pt idx="1039">
                  <c:v>32.5</c:v>
                </c:pt>
                <c:pt idx="1040">
                  <c:v>32.6</c:v>
                </c:pt>
                <c:pt idx="1041">
                  <c:v>32.700000000000003</c:v>
                </c:pt>
                <c:pt idx="1042">
                  <c:v>32.799999999999997</c:v>
                </c:pt>
                <c:pt idx="1043">
                  <c:v>32.9</c:v>
                </c:pt>
                <c:pt idx="1044">
                  <c:v>33</c:v>
                </c:pt>
                <c:pt idx="1045">
                  <c:v>33.1</c:v>
                </c:pt>
                <c:pt idx="1046">
                  <c:v>33.200000000000003</c:v>
                </c:pt>
                <c:pt idx="1047">
                  <c:v>33.299999999999997</c:v>
                </c:pt>
                <c:pt idx="1048">
                  <c:v>33.4</c:v>
                </c:pt>
                <c:pt idx="1049">
                  <c:v>33.6</c:v>
                </c:pt>
                <c:pt idx="1050">
                  <c:v>33.700000000000003</c:v>
                </c:pt>
                <c:pt idx="1051">
                  <c:v>33.799999999999997</c:v>
                </c:pt>
                <c:pt idx="1052">
                  <c:v>33.9</c:v>
                </c:pt>
                <c:pt idx="1053">
                  <c:v>34</c:v>
                </c:pt>
                <c:pt idx="1054">
                  <c:v>34.200000000000003</c:v>
                </c:pt>
                <c:pt idx="1055">
                  <c:v>34.299999999999997</c:v>
                </c:pt>
                <c:pt idx="1056">
                  <c:v>34.4</c:v>
                </c:pt>
                <c:pt idx="1057">
                  <c:v>34.6</c:v>
                </c:pt>
                <c:pt idx="1058">
                  <c:v>34.700000000000003</c:v>
                </c:pt>
                <c:pt idx="1059">
                  <c:v>34.799999999999997</c:v>
                </c:pt>
                <c:pt idx="1060">
                  <c:v>35</c:v>
                </c:pt>
                <c:pt idx="1061">
                  <c:v>35.1</c:v>
                </c:pt>
                <c:pt idx="1062">
                  <c:v>35.299999999999997</c:v>
                </c:pt>
                <c:pt idx="1063">
                  <c:v>35.4</c:v>
                </c:pt>
                <c:pt idx="1064">
                  <c:v>35.6</c:v>
                </c:pt>
                <c:pt idx="1065">
                  <c:v>35.700000000000003</c:v>
                </c:pt>
                <c:pt idx="1066">
                  <c:v>35.9</c:v>
                </c:pt>
                <c:pt idx="1067">
                  <c:v>36</c:v>
                </c:pt>
                <c:pt idx="1068">
                  <c:v>36.200000000000003</c:v>
                </c:pt>
                <c:pt idx="1069">
                  <c:v>36.4</c:v>
                </c:pt>
                <c:pt idx="1070">
                  <c:v>36.6</c:v>
                </c:pt>
                <c:pt idx="1071">
                  <c:v>36.700000000000003</c:v>
                </c:pt>
                <c:pt idx="1072">
                  <c:v>36.9</c:v>
                </c:pt>
                <c:pt idx="1073">
                  <c:v>37.1</c:v>
                </c:pt>
                <c:pt idx="1074">
                  <c:v>37.299999999999997</c:v>
                </c:pt>
                <c:pt idx="1075">
                  <c:v>37.5</c:v>
                </c:pt>
                <c:pt idx="1076">
                  <c:v>37.700000000000003</c:v>
                </c:pt>
                <c:pt idx="1077">
                  <c:v>37.9</c:v>
                </c:pt>
                <c:pt idx="1078">
                  <c:v>38.1</c:v>
                </c:pt>
                <c:pt idx="1079">
                  <c:v>38.4</c:v>
                </c:pt>
                <c:pt idx="1080">
                  <c:v>38.6</c:v>
                </c:pt>
                <c:pt idx="1081">
                  <c:v>38.799999999999997</c:v>
                </c:pt>
                <c:pt idx="1082">
                  <c:v>39</c:v>
                </c:pt>
                <c:pt idx="1083">
                  <c:v>39.299999999999997</c:v>
                </c:pt>
                <c:pt idx="1084">
                  <c:v>39.5</c:v>
                </c:pt>
                <c:pt idx="1085">
                  <c:v>39.799999999999997</c:v>
                </c:pt>
                <c:pt idx="1086">
                  <c:v>40.1</c:v>
                </c:pt>
                <c:pt idx="1087">
                  <c:v>40.299999999999997</c:v>
                </c:pt>
                <c:pt idx="1088">
                  <c:v>40.6</c:v>
                </c:pt>
                <c:pt idx="1089">
                  <c:v>40.9</c:v>
                </c:pt>
                <c:pt idx="1090">
                  <c:v>41.2</c:v>
                </c:pt>
                <c:pt idx="1091">
                  <c:v>41.5</c:v>
                </c:pt>
                <c:pt idx="1092">
                  <c:v>41.8</c:v>
                </c:pt>
                <c:pt idx="1093">
                  <c:v>42.1</c:v>
                </c:pt>
                <c:pt idx="1094">
                  <c:v>42.5</c:v>
                </c:pt>
                <c:pt idx="1095">
                  <c:v>42.8</c:v>
                </c:pt>
                <c:pt idx="1096">
                  <c:v>43.2</c:v>
                </c:pt>
                <c:pt idx="1097">
                  <c:v>43.5</c:v>
                </c:pt>
                <c:pt idx="1098">
                  <c:v>43.9</c:v>
                </c:pt>
                <c:pt idx="1099">
                  <c:v>44.3</c:v>
                </c:pt>
                <c:pt idx="1100">
                  <c:v>44.7</c:v>
                </c:pt>
                <c:pt idx="1101">
                  <c:v>45.1</c:v>
                </c:pt>
                <c:pt idx="1102">
                  <c:v>45.6</c:v>
                </c:pt>
                <c:pt idx="1103">
                  <c:v>46</c:v>
                </c:pt>
                <c:pt idx="1104">
                  <c:v>46.5</c:v>
                </c:pt>
                <c:pt idx="1105">
                  <c:v>47</c:v>
                </c:pt>
                <c:pt idx="1106">
                  <c:v>47.5</c:v>
                </c:pt>
                <c:pt idx="1107">
                  <c:v>48</c:v>
                </c:pt>
                <c:pt idx="1108">
                  <c:v>48.5</c:v>
                </c:pt>
                <c:pt idx="1109">
                  <c:v>49.1</c:v>
                </c:pt>
                <c:pt idx="1110">
                  <c:v>49.7</c:v>
                </c:pt>
                <c:pt idx="1111">
                  <c:v>50.3</c:v>
                </c:pt>
                <c:pt idx="1112">
                  <c:v>50.9</c:v>
                </c:pt>
                <c:pt idx="1113">
                  <c:v>51.5</c:v>
                </c:pt>
                <c:pt idx="1114">
                  <c:v>52.2</c:v>
                </c:pt>
                <c:pt idx="1115">
                  <c:v>52.9</c:v>
                </c:pt>
                <c:pt idx="1116">
                  <c:v>53.7</c:v>
                </c:pt>
                <c:pt idx="1117">
                  <c:v>54.4</c:v>
                </c:pt>
                <c:pt idx="1118">
                  <c:v>55.2</c:v>
                </c:pt>
                <c:pt idx="1119">
                  <c:v>56.1</c:v>
                </c:pt>
                <c:pt idx="1120">
                  <c:v>56.9</c:v>
                </c:pt>
                <c:pt idx="1121">
                  <c:v>57.9</c:v>
                </c:pt>
                <c:pt idx="1122">
                  <c:v>58.8</c:v>
                </c:pt>
                <c:pt idx="1123">
                  <c:v>59.8</c:v>
                </c:pt>
                <c:pt idx="1124">
                  <c:v>60.9</c:v>
                </c:pt>
                <c:pt idx="1125">
                  <c:v>62</c:v>
                </c:pt>
                <c:pt idx="1126">
                  <c:v>63.1</c:v>
                </c:pt>
                <c:pt idx="1127">
                  <c:v>64.400000000000006</c:v>
                </c:pt>
                <c:pt idx="1128">
                  <c:v>65.599999999999994</c:v>
                </c:pt>
                <c:pt idx="1129">
                  <c:v>67</c:v>
                </c:pt>
                <c:pt idx="1130">
                  <c:v>68.400000000000006</c:v>
                </c:pt>
                <c:pt idx="1131">
                  <c:v>69.900000000000006</c:v>
                </c:pt>
                <c:pt idx="1132">
                  <c:v>71.400000000000006</c:v>
                </c:pt>
                <c:pt idx="1133">
                  <c:v>73.099999999999994</c:v>
                </c:pt>
                <c:pt idx="1134">
                  <c:v>74.8</c:v>
                </c:pt>
                <c:pt idx="1135">
                  <c:v>76.7</c:v>
                </c:pt>
                <c:pt idx="1136">
                  <c:v>78.599999999999994</c:v>
                </c:pt>
                <c:pt idx="1137">
                  <c:v>80.7</c:v>
                </c:pt>
                <c:pt idx="1138">
                  <c:v>82.9</c:v>
                </c:pt>
                <c:pt idx="1139">
                  <c:v>85.2</c:v>
                </c:pt>
                <c:pt idx="1140">
                  <c:v>87.7</c:v>
                </c:pt>
                <c:pt idx="1141">
                  <c:v>90.3</c:v>
                </c:pt>
                <c:pt idx="1142">
                  <c:v>93</c:v>
                </c:pt>
                <c:pt idx="1143">
                  <c:v>96</c:v>
                </c:pt>
                <c:pt idx="1144">
                  <c:v>99.1</c:v>
                </c:pt>
                <c:pt idx="1145">
                  <c:v>102.5</c:v>
                </c:pt>
                <c:pt idx="1146">
                  <c:v>106</c:v>
                </c:pt>
                <c:pt idx="1147">
                  <c:v>109.8</c:v>
                </c:pt>
                <c:pt idx="1148">
                  <c:v>113.8</c:v>
                </c:pt>
                <c:pt idx="1149">
                  <c:v>118.1</c:v>
                </c:pt>
                <c:pt idx="1150">
                  <c:v>122.6</c:v>
                </c:pt>
                <c:pt idx="1151">
                  <c:v>127.5</c:v>
                </c:pt>
                <c:pt idx="1152">
                  <c:v>132.69999999999999</c:v>
                </c:pt>
                <c:pt idx="1153">
                  <c:v>138.19999999999999</c:v>
                </c:pt>
                <c:pt idx="1154">
                  <c:v>144</c:v>
                </c:pt>
                <c:pt idx="1155">
                  <c:v>150.19999999999999</c:v>
                </c:pt>
                <c:pt idx="1156">
                  <c:v>156.69999999999999</c:v>
                </c:pt>
                <c:pt idx="1157">
                  <c:v>163.6</c:v>
                </c:pt>
                <c:pt idx="1158">
                  <c:v>170.9</c:v>
                </c:pt>
                <c:pt idx="1159">
                  <c:v>178.5</c:v>
                </c:pt>
                <c:pt idx="1160">
                  <c:v>186.4</c:v>
                </c:pt>
                <c:pt idx="1161">
                  <c:v>194.5</c:v>
                </c:pt>
                <c:pt idx="1162">
                  <c:v>202.9</c:v>
                </c:pt>
                <c:pt idx="1163">
                  <c:v>211.3</c:v>
                </c:pt>
                <c:pt idx="1164">
                  <c:v>219.6</c:v>
                </c:pt>
                <c:pt idx="1165">
                  <c:v>227.8</c:v>
                </c:pt>
                <c:pt idx="1166">
                  <c:v>235.6</c:v>
                </c:pt>
                <c:pt idx="1167">
                  <c:v>242.9</c:v>
                </c:pt>
                <c:pt idx="1168">
                  <c:v>249.5</c:v>
                </c:pt>
                <c:pt idx="1169">
                  <c:v>255.2</c:v>
                </c:pt>
                <c:pt idx="1170">
                  <c:v>259.8</c:v>
                </c:pt>
                <c:pt idx="1171">
                  <c:v>263.5</c:v>
                </c:pt>
                <c:pt idx="1172">
                  <c:v>266.2</c:v>
                </c:pt>
                <c:pt idx="1173">
                  <c:v>268</c:v>
                </c:pt>
                <c:pt idx="1174">
                  <c:v>269.2</c:v>
                </c:pt>
                <c:pt idx="1175">
                  <c:v>269.89999999999998</c:v>
                </c:pt>
                <c:pt idx="1176">
                  <c:v>270.39999999999998</c:v>
                </c:pt>
                <c:pt idx="1177">
                  <c:v>270.60000000000002</c:v>
                </c:pt>
                <c:pt idx="1178">
                  <c:v>270.60000000000002</c:v>
                </c:pt>
                <c:pt idx="1179">
                  <c:v>270.39999999999998</c:v>
                </c:pt>
                <c:pt idx="1180">
                  <c:v>270</c:v>
                </c:pt>
                <c:pt idx="1181">
                  <c:v>269.2</c:v>
                </c:pt>
                <c:pt idx="1182">
                  <c:v>268</c:v>
                </c:pt>
                <c:pt idx="1183">
                  <c:v>266.2</c:v>
                </c:pt>
                <c:pt idx="1184">
                  <c:v>263.60000000000002</c:v>
                </c:pt>
                <c:pt idx="1185">
                  <c:v>260</c:v>
                </c:pt>
                <c:pt idx="1186">
                  <c:v>255.4</c:v>
                </c:pt>
                <c:pt idx="1187">
                  <c:v>249.8</c:v>
                </c:pt>
                <c:pt idx="1188">
                  <c:v>243.3</c:v>
                </c:pt>
                <c:pt idx="1189">
                  <c:v>236.1</c:v>
                </c:pt>
                <c:pt idx="1190">
                  <c:v>228.4</c:v>
                </c:pt>
              </c:numCache>
            </c:numRef>
          </c:yVal>
          <c:smooth val="1"/>
          <c:extLst>
            <c:ext xmlns:c16="http://schemas.microsoft.com/office/drawing/2014/chart" uri="{C3380CC4-5D6E-409C-BE32-E72D297353CC}">
              <c16:uniqueId val="{00000001-7C85-45CF-A381-2F467200C6B2}"/>
            </c:ext>
          </c:extLst>
        </c:ser>
        <c:ser>
          <c:idx val="5"/>
          <c:order val="2"/>
          <c:tx>
            <c:strRef>
              <c:f>Tatm!$J$5</c:f>
              <c:strCache>
                <c:ptCount val="1"/>
                <c:pt idx="0">
                  <c:v>13</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Tatm!$J$6:$J$1196</c:f>
              <c:numCache>
                <c:formatCode>General</c:formatCode>
                <c:ptCount val="1191"/>
                <c:pt idx="0">
                  <c:v>4.4000000000000004</c:v>
                </c:pt>
                <c:pt idx="1">
                  <c:v>4.4000000000000004</c:v>
                </c:pt>
                <c:pt idx="2">
                  <c:v>4.4000000000000004</c:v>
                </c:pt>
                <c:pt idx="3">
                  <c:v>4.4000000000000004</c:v>
                </c:pt>
                <c:pt idx="4">
                  <c:v>4.5</c:v>
                </c:pt>
                <c:pt idx="5">
                  <c:v>4.5</c:v>
                </c:pt>
                <c:pt idx="6">
                  <c:v>4.5</c:v>
                </c:pt>
                <c:pt idx="7">
                  <c:v>4.5</c:v>
                </c:pt>
                <c:pt idx="8">
                  <c:v>4.5</c:v>
                </c:pt>
                <c:pt idx="9">
                  <c:v>4.5</c:v>
                </c:pt>
                <c:pt idx="10">
                  <c:v>4.5</c:v>
                </c:pt>
                <c:pt idx="11">
                  <c:v>4.5</c:v>
                </c:pt>
                <c:pt idx="12">
                  <c:v>4.5</c:v>
                </c:pt>
                <c:pt idx="13">
                  <c:v>4.5</c:v>
                </c:pt>
                <c:pt idx="14">
                  <c:v>4.5</c:v>
                </c:pt>
                <c:pt idx="15">
                  <c:v>4.5999999999999996</c:v>
                </c:pt>
                <c:pt idx="16">
                  <c:v>4.5999999999999996</c:v>
                </c:pt>
                <c:pt idx="17">
                  <c:v>4.5999999999999996</c:v>
                </c:pt>
                <c:pt idx="18">
                  <c:v>4.5999999999999996</c:v>
                </c:pt>
                <c:pt idx="19">
                  <c:v>4.5999999999999996</c:v>
                </c:pt>
                <c:pt idx="20">
                  <c:v>4.5999999999999996</c:v>
                </c:pt>
                <c:pt idx="21">
                  <c:v>4.5999999999999996</c:v>
                </c:pt>
                <c:pt idx="22">
                  <c:v>4.5999999999999996</c:v>
                </c:pt>
                <c:pt idx="23">
                  <c:v>4.5999999999999996</c:v>
                </c:pt>
                <c:pt idx="24">
                  <c:v>4.5999999999999996</c:v>
                </c:pt>
                <c:pt idx="25">
                  <c:v>4.5999999999999996</c:v>
                </c:pt>
                <c:pt idx="26">
                  <c:v>4.5999999999999996</c:v>
                </c:pt>
                <c:pt idx="27">
                  <c:v>4.5999999999999996</c:v>
                </c:pt>
                <c:pt idx="28">
                  <c:v>4.5999999999999996</c:v>
                </c:pt>
                <c:pt idx="29">
                  <c:v>4.5999999999999996</c:v>
                </c:pt>
                <c:pt idx="30">
                  <c:v>4.5999999999999996</c:v>
                </c:pt>
                <c:pt idx="31">
                  <c:v>4.7</c:v>
                </c:pt>
                <c:pt idx="32">
                  <c:v>4.7</c:v>
                </c:pt>
                <c:pt idx="33">
                  <c:v>4.7</c:v>
                </c:pt>
                <c:pt idx="34">
                  <c:v>4.7</c:v>
                </c:pt>
                <c:pt idx="35">
                  <c:v>4.7</c:v>
                </c:pt>
                <c:pt idx="36">
                  <c:v>4.7</c:v>
                </c:pt>
                <c:pt idx="37">
                  <c:v>4.7</c:v>
                </c:pt>
                <c:pt idx="38">
                  <c:v>4.7</c:v>
                </c:pt>
                <c:pt idx="39">
                  <c:v>4.7</c:v>
                </c:pt>
                <c:pt idx="40">
                  <c:v>4.7</c:v>
                </c:pt>
                <c:pt idx="41">
                  <c:v>4.7</c:v>
                </c:pt>
                <c:pt idx="42">
                  <c:v>4.7</c:v>
                </c:pt>
                <c:pt idx="43">
                  <c:v>4.7</c:v>
                </c:pt>
                <c:pt idx="44">
                  <c:v>4.7</c:v>
                </c:pt>
                <c:pt idx="45">
                  <c:v>4.8</c:v>
                </c:pt>
                <c:pt idx="46">
                  <c:v>4.8</c:v>
                </c:pt>
                <c:pt idx="47">
                  <c:v>4.8</c:v>
                </c:pt>
                <c:pt idx="48">
                  <c:v>4.8</c:v>
                </c:pt>
                <c:pt idx="49">
                  <c:v>4.8</c:v>
                </c:pt>
                <c:pt idx="50">
                  <c:v>4.8</c:v>
                </c:pt>
                <c:pt idx="51">
                  <c:v>4.8</c:v>
                </c:pt>
                <c:pt idx="52">
                  <c:v>4.8</c:v>
                </c:pt>
                <c:pt idx="53">
                  <c:v>4.8</c:v>
                </c:pt>
                <c:pt idx="54">
                  <c:v>4.8</c:v>
                </c:pt>
                <c:pt idx="55">
                  <c:v>4.8</c:v>
                </c:pt>
                <c:pt idx="56">
                  <c:v>4.9000000000000004</c:v>
                </c:pt>
                <c:pt idx="57">
                  <c:v>4.9000000000000004</c:v>
                </c:pt>
                <c:pt idx="58">
                  <c:v>4.9000000000000004</c:v>
                </c:pt>
                <c:pt idx="59">
                  <c:v>4.9000000000000004</c:v>
                </c:pt>
                <c:pt idx="60">
                  <c:v>4.9000000000000004</c:v>
                </c:pt>
                <c:pt idx="61">
                  <c:v>4.9000000000000004</c:v>
                </c:pt>
                <c:pt idx="62">
                  <c:v>4.9000000000000004</c:v>
                </c:pt>
                <c:pt idx="63">
                  <c:v>4.9000000000000004</c:v>
                </c:pt>
                <c:pt idx="64">
                  <c:v>4.9000000000000004</c:v>
                </c:pt>
                <c:pt idx="65">
                  <c:v>5</c:v>
                </c:pt>
                <c:pt idx="66">
                  <c:v>5</c:v>
                </c:pt>
                <c:pt idx="67">
                  <c:v>5</c:v>
                </c:pt>
                <c:pt idx="68">
                  <c:v>5</c:v>
                </c:pt>
                <c:pt idx="69">
                  <c:v>5</c:v>
                </c:pt>
                <c:pt idx="70">
                  <c:v>5</c:v>
                </c:pt>
                <c:pt idx="71">
                  <c:v>5</c:v>
                </c:pt>
                <c:pt idx="72">
                  <c:v>5.0999999999999996</c:v>
                </c:pt>
                <c:pt idx="73">
                  <c:v>5.0999999999999996</c:v>
                </c:pt>
                <c:pt idx="74">
                  <c:v>5.0999999999999996</c:v>
                </c:pt>
                <c:pt idx="75">
                  <c:v>5.0999999999999996</c:v>
                </c:pt>
                <c:pt idx="76">
                  <c:v>5.0999999999999996</c:v>
                </c:pt>
                <c:pt idx="77">
                  <c:v>5.0999999999999996</c:v>
                </c:pt>
                <c:pt idx="78">
                  <c:v>5.0999999999999996</c:v>
                </c:pt>
                <c:pt idx="79">
                  <c:v>5.2</c:v>
                </c:pt>
                <c:pt idx="80">
                  <c:v>5.2</c:v>
                </c:pt>
                <c:pt idx="81">
                  <c:v>5.2</c:v>
                </c:pt>
                <c:pt idx="82">
                  <c:v>5.2</c:v>
                </c:pt>
                <c:pt idx="83">
                  <c:v>5.2</c:v>
                </c:pt>
                <c:pt idx="84">
                  <c:v>5.2</c:v>
                </c:pt>
                <c:pt idx="85">
                  <c:v>5.3</c:v>
                </c:pt>
                <c:pt idx="86">
                  <c:v>5.3</c:v>
                </c:pt>
                <c:pt idx="87">
                  <c:v>5.3</c:v>
                </c:pt>
                <c:pt idx="88">
                  <c:v>5.3</c:v>
                </c:pt>
                <c:pt idx="89">
                  <c:v>5.3</c:v>
                </c:pt>
                <c:pt idx="90">
                  <c:v>5.3</c:v>
                </c:pt>
                <c:pt idx="91">
                  <c:v>5.4</c:v>
                </c:pt>
                <c:pt idx="92">
                  <c:v>5.4</c:v>
                </c:pt>
                <c:pt idx="93">
                  <c:v>5.4</c:v>
                </c:pt>
                <c:pt idx="94">
                  <c:v>5.4</c:v>
                </c:pt>
                <c:pt idx="95">
                  <c:v>5.4</c:v>
                </c:pt>
                <c:pt idx="96">
                  <c:v>5.5</c:v>
                </c:pt>
                <c:pt idx="97">
                  <c:v>5.5</c:v>
                </c:pt>
                <c:pt idx="98">
                  <c:v>5.5</c:v>
                </c:pt>
                <c:pt idx="99">
                  <c:v>5.5</c:v>
                </c:pt>
                <c:pt idx="100">
                  <c:v>5.6</c:v>
                </c:pt>
                <c:pt idx="101">
                  <c:v>5.6</c:v>
                </c:pt>
                <c:pt idx="102">
                  <c:v>5.6</c:v>
                </c:pt>
                <c:pt idx="103">
                  <c:v>5.6</c:v>
                </c:pt>
                <c:pt idx="104">
                  <c:v>5.6</c:v>
                </c:pt>
                <c:pt idx="105">
                  <c:v>5.7</c:v>
                </c:pt>
                <c:pt idx="106">
                  <c:v>5.7</c:v>
                </c:pt>
                <c:pt idx="107">
                  <c:v>5.7</c:v>
                </c:pt>
                <c:pt idx="108">
                  <c:v>5.7</c:v>
                </c:pt>
                <c:pt idx="109">
                  <c:v>5.8</c:v>
                </c:pt>
                <c:pt idx="110">
                  <c:v>5.8</c:v>
                </c:pt>
                <c:pt idx="111">
                  <c:v>5.8</c:v>
                </c:pt>
                <c:pt idx="112">
                  <c:v>5.9</c:v>
                </c:pt>
                <c:pt idx="113">
                  <c:v>5.9</c:v>
                </c:pt>
                <c:pt idx="114">
                  <c:v>5.9</c:v>
                </c:pt>
                <c:pt idx="115">
                  <c:v>6</c:v>
                </c:pt>
                <c:pt idx="116">
                  <c:v>6</c:v>
                </c:pt>
                <c:pt idx="117">
                  <c:v>6</c:v>
                </c:pt>
                <c:pt idx="118">
                  <c:v>6</c:v>
                </c:pt>
                <c:pt idx="119">
                  <c:v>6.1</c:v>
                </c:pt>
                <c:pt idx="120">
                  <c:v>6.1</c:v>
                </c:pt>
                <c:pt idx="121">
                  <c:v>6.2</c:v>
                </c:pt>
                <c:pt idx="122">
                  <c:v>6.2</c:v>
                </c:pt>
                <c:pt idx="123">
                  <c:v>6.2</c:v>
                </c:pt>
                <c:pt idx="124">
                  <c:v>6.3</c:v>
                </c:pt>
                <c:pt idx="125">
                  <c:v>6.3</c:v>
                </c:pt>
                <c:pt idx="126">
                  <c:v>6.3</c:v>
                </c:pt>
                <c:pt idx="127">
                  <c:v>6.4</c:v>
                </c:pt>
                <c:pt idx="128">
                  <c:v>6.4</c:v>
                </c:pt>
                <c:pt idx="129">
                  <c:v>6.5</c:v>
                </c:pt>
                <c:pt idx="130">
                  <c:v>6.5</c:v>
                </c:pt>
                <c:pt idx="131">
                  <c:v>6.6</c:v>
                </c:pt>
                <c:pt idx="132">
                  <c:v>6.6</c:v>
                </c:pt>
                <c:pt idx="133">
                  <c:v>6.7</c:v>
                </c:pt>
                <c:pt idx="134">
                  <c:v>6.7</c:v>
                </c:pt>
                <c:pt idx="135">
                  <c:v>6.8</c:v>
                </c:pt>
                <c:pt idx="136">
                  <c:v>6.8</c:v>
                </c:pt>
                <c:pt idx="137">
                  <c:v>6.9</c:v>
                </c:pt>
                <c:pt idx="138">
                  <c:v>6.9</c:v>
                </c:pt>
                <c:pt idx="139">
                  <c:v>7</c:v>
                </c:pt>
                <c:pt idx="140">
                  <c:v>7</c:v>
                </c:pt>
                <c:pt idx="141">
                  <c:v>7.1</c:v>
                </c:pt>
                <c:pt idx="142">
                  <c:v>7.2</c:v>
                </c:pt>
                <c:pt idx="143">
                  <c:v>7.2</c:v>
                </c:pt>
                <c:pt idx="144">
                  <c:v>7.3</c:v>
                </c:pt>
                <c:pt idx="145">
                  <c:v>7.4</c:v>
                </c:pt>
                <c:pt idx="146">
                  <c:v>7.5</c:v>
                </c:pt>
                <c:pt idx="147">
                  <c:v>7.5</c:v>
                </c:pt>
                <c:pt idx="148">
                  <c:v>7.6</c:v>
                </c:pt>
                <c:pt idx="149">
                  <c:v>7.7</c:v>
                </c:pt>
                <c:pt idx="150">
                  <c:v>7.8</c:v>
                </c:pt>
                <c:pt idx="151">
                  <c:v>7.9</c:v>
                </c:pt>
                <c:pt idx="152">
                  <c:v>8</c:v>
                </c:pt>
                <c:pt idx="153">
                  <c:v>8.1</c:v>
                </c:pt>
                <c:pt idx="154">
                  <c:v>8.1999999999999993</c:v>
                </c:pt>
                <c:pt idx="155">
                  <c:v>8.3000000000000007</c:v>
                </c:pt>
                <c:pt idx="156">
                  <c:v>8.4</c:v>
                </c:pt>
                <c:pt idx="157">
                  <c:v>8.5</c:v>
                </c:pt>
                <c:pt idx="158">
                  <c:v>8.6</c:v>
                </c:pt>
                <c:pt idx="159">
                  <c:v>8.6999999999999993</c:v>
                </c:pt>
                <c:pt idx="160">
                  <c:v>8.9</c:v>
                </c:pt>
                <c:pt idx="161">
                  <c:v>9</c:v>
                </c:pt>
                <c:pt idx="162">
                  <c:v>9.1999999999999993</c:v>
                </c:pt>
                <c:pt idx="163">
                  <c:v>9.3000000000000007</c:v>
                </c:pt>
                <c:pt idx="164">
                  <c:v>9.5</c:v>
                </c:pt>
                <c:pt idx="165">
                  <c:v>9.6</c:v>
                </c:pt>
                <c:pt idx="166">
                  <c:v>9.8000000000000007</c:v>
                </c:pt>
                <c:pt idx="167">
                  <c:v>10</c:v>
                </c:pt>
                <c:pt idx="168">
                  <c:v>10.199999999999999</c:v>
                </c:pt>
                <c:pt idx="169">
                  <c:v>10.4</c:v>
                </c:pt>
                <c:pt idx="170">
                  <c:v>10.6</c:v>
                </c:pt>
                <c:pt idx="171">
                  <c:v>10.8</c:v>
                </c:pt>
                <c:pt idx="172">
                  <c:v>11.1</c:v>
                </c:pt>
                <c:pt idx="173">
                  <c:v>11.3</c:v>
                </c:pt>
                <c:pt idx="174">
                  <c:v>11.6</c:v>
                </c:pt>
                <c:pt idx="175">
                  <c:v>11.9</c:v>
                </c:pt>
                <c:pt idx="176">
                  <c:v>12.2</c:v>
                </c:pt>
                <c:pt idx="177">
                  <c:v>12.5</c:v>
                </c:pt>
                <c:pt idx="178">
                  <c:v>12.8</c:v>
                </c:pt>
                <c:pt idx="179">
                  <c:v>13.2</c:v>
                </c:pt>
                <c:pt idx="180">
                  <c:v>13.6</c:v>
                </c:pt>
                <c:pt idx="181">
                  <c:v>14</c:v>
                </c:pt>
                <c:pt idx="182">
                  <c:v>14.4</c:v>
                </c:pt>
                <c:pt idx="183">
                  <c:v>14.9</c:v>
                </c:pt>
                <c:pt idx="184">
                  <c:v>15.4</c:v>
                </c:pt>
                <c:pt idx="185">
                  <c:v>15.9</c:v>
                </c:pt>
                <c:pt idx="186">
                  <c:v>16.5</c:v>
                </c:pt>
                <c:pt idx="187">
                  <c:v>17.100000000000001</c:v>
                </c:pt>
                <c:pt idx="188">
                  <c:v>17.7</c:v>
                </c:pt>
                <c:pt idx="189">
                  <c:v>18.399999999999999</c:v>
                </c:pt>
                <c:pt idx="190">
                  <c:v>19.100000000000001</c:v>
                </c:pt>
                <c:pt idx="191">
                  <c:v>19.899999999999999</c:v>
                </c:pt>
                <c:pt idx="192">
                  <c:v>20.7</c:v>
                </c:pt>
                <c:pt idx="193">
                  <c:v>21.6</c:v>
                </c:pt>
                <c:pt idx="194">
                  <c:v>22.5</c:v>
                </c:pt>
                <c:pt idx="195">
                  <c:v>23.5</c:v>
                </c:pt>
                <c:pt idx="196">
                  <c:v>24.6</c:v>
                </c:pt>
                <c:pt idx="197">
                  <c:v>25.7</c:v>
                </c:pt>
                <c:pt idx="198">
                  <c:v>26.9</c:v>
                </c:pt>
                <c:pt idx="199">
                  <c:v>28.1</c:v>
                </c:pt>
                <c:pt idx="200">
                  <c:v>29.4</c:v>
                </c:pt>
                <c:pt idx="201">
                  <c:v>30.7</c:v>
                </c:pt>
                <c:pt idx="202">
                  <c:v>32.1</c:v>
                </c:pt>
                <c:pt idx="203">
                  <c:v>33.5</c:v>
                </c:pt>
                <c:pt idx="204">
                  <c:v>34.9</c:v>
                </c:pt>
                <c:pt idx="205">
                  <c:v>36.4</c:v>
                </c:pt>
                <c:pt idx="206">
                  <c:v>37.799999999999997</c:v>
                </c:pt>
                <c:pt idx="207">
                  <c:v>39.1</c:v>
                </c:pt>
                <c:pt idx="208">
                  <c:v>40.5</c:v>
                </c:pt>
                <c:pt idx="209">
                  <c:v>41.7</c:v>
                </c:pt>
                <c:pt idx="210">
                  <c:v>42.7</c:v>
                </c:pt>
                <c:pt idx="211">
                  <c:v>43.6</c:v>
                </c:pt>
                <c:pt idx="212">
                  <c:v>44.2</c:v>
                </c:pt>
                <c:pt idx="213">
                  <c:v>44.5</c:v>
                </c:pt>
                <c:pt idx="214">
                  <c:v>44.4</c:v>
                </c:pt>
                <c:pt idx="215">
                  <c:v>44.1</c:v>
                </c:pt>
                <c:pt idx="216">
                  <c:v>43.6</c:v>
                </c:pt>
                <c:pt idx="217">
                  <c:v>43</c:v>
                </c:pt>
                <c:pt idx="218">
                  <c:v>42.2</c:v>
                </c:pt>
                <c:pt idx="219">
                  <c:v>41.3</c:v>
                </c:pt>
                <c:pt idx="220">
                  <c:v>40.299999999999997</c:v>
                </c:pt>
                <c:pt idx="221">
                  <c:v>39.299999999999997</c:v>
                </c:pt>
                <c:pt idx="222">
                  <c:v>38.200000000000003</c:v>
                </c:pt>
                <c:pt idx="223">
                  <c:v>37.1</c:v>
                </c:pt>
                <c:pt idx="224">
                  <c:v>36</c:v>
                </c:pt>
                <c:pt idx="225">
                  <c:v>35</c:v>
                </c:pt>
                <c:pt idx="226">
                  <c:v>33.9</c:v>
                </c:pt>
                <c:pt idx="227">
                  <c:v>32.9</c:v>
                </c:pt>
                <c:pt idx="228">
                  <c:v>31.9</c:v>
                </c:pt>
                <c:pt idx="229">
                  <c:v>30.9</c:v>
                </c:pt>
                <c:pt idx="230">
                  <c:v>30</c:v>
                </c:pt>
                <c:pt idx="231">
                  <c:v>29.1</c:v>
                </c:pt>
                <c:pt idx="232">
                  <c:v>28.3</c:v>
                </c:pt>
                <c:pt idx="233">
                  <c:v>27.5</c:v>
                </c:pt>
                <c:pt idx="234">
                  <c:v>26.8</c:v>
                </c:pt>
                <c:pt idx="235">
                  <c:v>26</c:v>
                </c:pt>
                <c:pt idx="236">
                  <c:v>25.4</c:v>
                </c:pt>
                <c:pt idx="237">
                  <c:v>24.7</c:v>
                </c:pt>
                <c:pt idx="238">
                  <c:v>24.1</c:v>
                </c:pt>
                <c:pt idx="239">
                  <c:v>23.5</c:v>
                </c:pt>
                <c:pt idx="240">
                  <c:v>23</c:v>
                </c:pt>
                <c:pt idx="241">
                  <c:v>22.5</c:v>
                </c:pt>
                <c:pt idx="242">
                  <c:v>22</c:v>
                </c:pt>
                <c:pt idx="243">
                  <c:v>21.6</c:v>
                </c:pt>
                <c:pt idx="244">
                  <c:v>21.1</c:v>
                </c:pt>
                <c:pt idx="245">
                  <c:v>20.7</c:v>
                </c:pt>
                <c:pt idx="246">
                  <c:v>20.399999999999999</c:v>
                </c:pt>
                <c:pt idx="247">
                  <c:v>20</c:v>
                </c:pt>
                <c:pt idx="248">
                  <c:v>19.7</c:v>
                </c:pt>
                <c:pt idx="249">
                  <c:v>19.399999999999999</c:v>
                </c:pt>
                <c:pt idx="250">
                  <c:v>19.100000000000001</c:v>
                </c:pt>
                <c:pt idx="251">
                  <c:v>18.8</c:v>
                </c:pt>
                <c:pt idx="252">
                  <c:v>18.5</c:v>
                </c:pt>
                <c:pt idx="253">
                  <c:v>18.3</c:v>
                </c:pt>
                <c:pt idx="254">
                  <c:v>18</c:v>
                </c:pt>
                <c:pt idx="255">
                  <c:v>17.8</c:v>
                </c:pt>
                <c:pt idx="256">
                  <c:v>17.600000000000001</c:v>
                </c:pt>
                <c:pt idx="257">
                  <c:v>17.399999999999999</c:v>
                </c:pt>
                <c:pt idx="258">
                  <c:v>17.2</c:v>
                </c:pt>
                <c:pt idx="259">
                  <c:v>17</c:v>
                </c:pt>
                <c:pt idx="260">
                  <c:v>16.899999999999999</c:v>
                </c:pt>
                <c:pt idx="261">
                  <c:v>16.7</c:v>
                </c:pt>
                <c:pt idx="262">
                  <c:v>16.600000000000001</c:v>
                </c:pt>
                <c:pt idx="263">
                  <c:v>16.5</c:v>
                </c:pt>
                <c:pt idx="264">
                  <c:v>16.3</c:v>
                </c:pt>
                <c:pt idx="265">
                  <c:v>16.2</c:v>
                </c:pt>
                <c:pt idx="266">
                  <c:v>16.100000000000001</c:v>
                </c:pt>
                <c:pt idx="267">
                  <c:v>16</c:v>
                </c:pt>
                <c:pt idx="268">
                  <c:v>15.9</c:v>
                </c:pt>
                <c:pt idx="269">
                  <c:v>15.8</c:v>
                </c:pt>
                <c:pt idx="270">
                  <c:v>15.7</c:v>
                </c:pt>
                <c:pt idx="271">
                  <c:v>15.6</c:v>
                </c:pt>
                <c:pt idx="272">
                  <c:v>15.6</c:v>
                </c:pt>
                <c:pt idx="273">
                  <c:v>15.5</c:v>
                </c:pt>
                <c:pt idx="274">
                  <c:v>15.4</c:v>
                </c:pt>
                <c:pt idx="275">
                  <c:v>15.4</c:v>
                </c:pt>
                <c:pt idx="276">
                  <c:v>15.3</c:v>
                </c:pt>
                <c:pt idx="277">
                  <c:v>15.2</c:v>
                </c:pt>
                <c:pt idx="278">
                  <c:v>15.2</c:v>
                </c:pt>
                <c:pt idx="279">
                  <c:v>15.2</c:v>
                </c:pt>
                <c:pt idx="280">
                  <c:v>15.1</c:v>
                </c:pt>
                <c:pt idx="281">
                  <c:v>15.1</c:v>
                </c:pt>
                <c:pt idx="282">
                  <c:v>15</c:v>
                </c:pt>
                <c:pt idx="283">
                  <c:v>15</c:v>
                </c:pt>
                <c:pt idx="284">
                  <c:v>15</c:v>
                </c:pt>
                <c:pt idx="285">
                  <c:v>15</c:v>
                </c:pt>
                <c:pt idx="286">
                  <c:v>14.9</c:v>
                </c:pt>
                <c:pt idx="287">
                  <c:v>14.9</c:v>
                </c:pt>
                <c:pt idx="288">
                  <c:v>14.9</c:v>
                </c:pt>
                <c:pt idx="289">
                  <c:v>14.9</c:v>
                </c:pt>
                <c:pt idx="290">
                  <c:v>14.9</c:v>
                </c:pt>
                <c:pt idx="291">
                  <c:v>14.9</c:v>
                </c:pt>
                <c:pt idx="292">
                  <c:v>14.9</c:v>
                </c:pt>
                <c:pt idx="293">
                  <c:v>14.9</c:v>
                </c:pt>
                <c:pt idx="294">
                  <c:v>14.9</c:v>
                </c:pt>
                <c:pt idx="295">
                  <c:v>14.9</c:v>
                </c:pt>
                <c:pt idx="296">
                  <c:v>14.9</c:v>
                </c:pt>
                <c:pt idx="297">
                  <c:v>14.9</c:v>
                </c:pt>
                <c:pt idx="298">
                  <c:v>14.9</c:v>
                </c:pt>
                <c:pt idx="299">
                  <c:v>14.9</c:v>
                </c:pt>
                <c:pt idx="300">
                  <c:v>14.9</c:v>
                </c:pt>
                <c:pt idx="301">
                  <c:v>14.9</c:v>
                </c:pt>
                <c:pt idx="302">
                  <c:v>14.9</c:v>
                </c:pt>
                <c:pt idx="303">
                  <c:v>15</c:v>
                </c:pt>
                <c:pt idx="304">
                  <c:v>15</c:v>
                </c:pt>
                <c:pt idx="305">
                  <c:v>15</c:v>
                </c:pt>
                <c:pt idx="306">
                  <c:v>15</c:v>
                </c:pt>
                <c:pt idx="307">
                  <c:v>15.1</c:v>
                </c:pt>
                <c:pt idx="308">
                  <c:v>15.1</c:v>
                </c:pt>
                <c:pt idx="309">
                  <c:v>15.1</c:v>
                </c:pt>
                <c:pt idx="310">
                  <c:v>15.1</c:v>
                </c:pt>
                <c:pt idx="311">
                  <c:v>15.2</c:v>
                </c:pt>
                <c:pt idx="312">
                  <c:v>15.2</c:v>
                </c:pt>
                <c:pt idx="313">
                  <c:v>15.2</c:v>
                </c:pt>
                <c:pt idx="314">
                  <c:v>15.3</c:v>
                </c:pt>
                <c:pt idx="315">
                  <c:v>15.3</c:v>
                </c:pt>
                <c:pt idx="316">
                  <c:v>15.3</c:v>
                </c:pt>
                <c:pt idx="317">
                  <c:v>15.4</c:v>
                </c:pt>
                <c:pt idx="318">
                  <c:v>15.4</c:v>
                </c:pt>
                <c:pt idx="319">
                  <c:v>15.5</c:v>
                </c:pt>
                <c:pt idx="320">
                  <c:v>15.5</c:v>
                </c:pt>
                <c:pt idx="321">
                  <c:v>15.6</c:v>
                </c:pt>
                <c:pt idx="322">
                  <c:v>15.6</c:v>
                </c:pt>
                <c:pt idx="323">
                  <c:v>15.6</c:v>
                </c:pt>
                <c:pt idx="324">
                  <c:v>15.7</c:v>
                </c:pt>
                <c:pt idx="325">
                  <c:v>15.7</c:v>
                </c:pt>
                <c:pt idx="326">
                  <c:v>15.8</c:v>
                </c:pt>
                <c:pt idx="327">
                  <c:v>15.8</c:v>
                </c:pt>
                <c:pt idx="328">
                  <c:v>15.9</c:v>
                </c:pt>
                <c:pt idx="329">
                  <c:v>16</c:v>
                </c:pt>
                <c:pt idx="330">
                  <c:v>16</c:v>
                </c:pt>
                <c:pt idx="331">
                  <c:v>16.100000000000001</c:v>
                </c:pt>
                <c:pt idx="332">
                  <c:v>16.100000000000001</c:v>
                </c:pt>
                <c:pt idx="333">
                  <c:v>16.2</c:v>
                </c:pt>
                <c:pt idx="334">
                  <c:v>16.3</c:v>
                </c:pt>
                <c:pt idx="335">
                  <c:v>16.3</c:v>
                </c:pt>
                <c:pt idx="336">
                  <c:v>16.399999999999999</c:v>
                </c:pt>
                <c:pt idx="337">
                  <c:v>16.399999999999999</c:v>
                </c:pt>
                <c:pt idx="338">
                  <c:v>16.5</c:v>
                </c:pt>
                <c:pt idx="339">
                  <c:v>16.600000000000001</c:v>
                </c:pt>
                <c:pt idx="340">
                  <c:v>16.600000000000001</c:v>
                </c:pt>
                <c:pt idx="341">
                  <c:v>16.7</c:v>
                </c:pt>
                <c:pt idx="342">
                  <c:v>16.8</c:v>
                </c:pt>
                <c:pt idx="343">
                  <c:v>16.899999999999999</c:v>
                </c:pt>
                <c:pt idx="344">
                  <c:v>16.899999999999999</c:v>
                </c:pt>
                <c:pt idx="345">
                  <c:v>17</c:v>
                </c:pt>
                <c:pt idx="346">
                  <c:v>17.100000000000001</c:v>
                </c:pt>
                <c:pt idx="347">
                  <c:v>17.2</c:v>
                </c:pt>
                <c:pt idx="348">
                  <c:v>17.2</c:v>
                </c:pt>
                <c:pt idx="349">
                  <c:v>17.3</c:v>
                </c:pt>
                <c:pt idx="350">
                  <c:v>17.399999999999999</c:v>
                </c:pt>
                <c:pt idx="351">
                  <c:v>17.5</c:v>
                </c:pt>
                <c:pt idx="352">
                  <c:v>17.600000000000001</c:v>
                </c:pt>
                <c:pt idx="353">
                  <c:v>17.600000000000001</c:v>
                </c:pt>
                <c:pt idx="354">
                  <c:v>17.7</c:v>
                </c:pt>
                <c:pt idx="355">
                  <c:v>17.8</c:v>
                </c:pt>
                <c:pt idx="356">
                  <c:v>17.899999999999999</c:v>
                </c:pt>
                <c:pt idx="357">
                  <c:v>18</c:v>
                </c:pt>
                <c:pt idx="358">
                  <c:v>18.100000000000001</c:v>
                </c:pt>
                <c:pt idx="359">
                  <c:v>18.2</c:v>
                </c:pt>
                <c:pt idx="360">
                  <c:v>18.3</c:v>
                </c:pt>
                <c:pt idx="361">
                  <c:v>18.399999999999999</c:v>
                </c:pt>
                <c:pt idx="362">
                  <c:v>18.5</c:v>
                </c:pt>
                <c:pt idx="363">
                  <c:v>18.600000000000001</c:v>
                </c:pt>
                <c:pt idx="364">
                  <c:v>18.7</c:v>
                </c:pt>
                <c:pt idx="365">
                  <c:v>18.8</c:v>
                </c:pt>
                <c:pt idx="366">
                  <c:v>18.899999999999999</c:v>
                </c:pt>
                <c:pt idx="367">
                  <c:v>19</c:v>
                </c:pt>
                <c:pt idx="368">
                  <c:v>19.100000000000001</c:v>
                </c:pt>
                <c:pt idx="369">
                  <c:v>19.2</c:v>
                </c:pt>
                <c:pt idx="370">
                  <c:v>19.3</c:v>
                </c:pt>
                <c:pt idx="371">
                  <c:v>19.399999999999999</c:v>
                </c:pt>
                <c:pt idx="372">
                  <c:v>19.5</c:v>
                </c:pt>
                <c:pt idx="373">
                  <c:v>19.600000000000001</c:v>
                </c:pt>
                <c:pt idx="374">
                  <c:v>19.8</c:v>
                </c:pt>
                <c:pt idx="375">
                  <c:v>19.899999999999999</c:v>
                </c:pt>
                <c:pt idx="376">
                  <c:v>20</c:v>
                </c:pt>
                <c:pt idx="377">
                  <c:v>20.100000000000001</c:v>
                </c:pt>
                <c:pt idx="378">
                  <c:v>20.2</c:v>
                </c:pt>
                <c:pt idx="379">
                  <c:v>20.399999999999999</c:v>
                </c:pt>
                <c:pt idx="380">
                  <c:v>20.5</c:v>
                </c:pt>
                <c:pt idx="381">
                  <c:v>20.6</c:v>
                </c:pt>
                <c:pt idx="382">
                  <c:v>20.8</c:v>
                </c:pt>
                <c:pt idx="383">
                  <c:v>20.9</c:v>
                </c:pt>
                <c:pt idx="384">
                  <c:v>21</c:v>
                </c:pt>
                <c:pt idx="385">
                  <c:v>21.2</c:v>
                </c:pt>
                <c:pt idx="386">
                  <c:v>21.3</c:v>
                </c:pt>
                <c:pt idx="387">
                  <c:v>21.4</c:v>
                </c:pt>
                <c:pt idx="388">
                  <c:v>21.6</c:v>
                </c:pt>
                <c:pt idx="389">
                  <c:v>21.7</c:v>
                </c:pt>
                <c:pt idx="390">
                  <c:v>21.9</c:v>
                </c:pt>
                <c:pt idx="391">
                  <c:v>22</c:v>
                </c:pt>
                <c:pt idx="392">
                  <c:v>22.2</c:v>
                </c:pt>
                <c:pt idx="393">
                  <c:v>22.3</c:v>
                </c:pt>
                <c:pt idx="394">
                  <c:v>22.5</c:v>
                </c:pt>
                <c:pt idx="395">
                  <c:v>22.6</c:v>
                </c:pt>
                <c:pt idx="396">
                  <c:v>22.8</c:v>
                </c:pt>
                <c:pt idx="397">
                  <c:v>23</c:v>
                </c:pt>
                <c:pt idx="398">
                  <c:v>23.1</c:v>
                </c:pt>
                <c:pt idx="399">
                  <c:v>23.3</c:v>
                </c:pt>
                <c:pt idx="400">
                  <c:v>23.5</c:v>
                </c:pt>
                <c:pt idx="401">
                  <c:v>23.6</c:v>
                </c:pt>
                <c:pt idx="402">
                  <c:v>23.8</c:v>
                </c:pt>
                <c:pt idx="403">
                  <c:v>24</c:v>
                </c:pt>
                <c:pt idx="404">
                  <c:v>24.2</c:v>
                </c:pt>
                <c:pt idx="405">
                  <c:v>24.4</c:v>
                </c:pt>
                <c:pt idx="406">
                  <c:v>24.6</c:v>
                </c:pt>
                <c:pt idx="407">
                  <c:v>24.8</c:v>
                </c:pt>
                <c:pt idx="408">
                  <c:v>24.9</c:v>
                </c:pt>
                <c:pt idx="409">
                  <c:v>25.1</c:v>
                </c:pt>
                <c:pt idx="410">
                  <c:v>25.3</c:v>
                </c:pt>
                <c:pt idx="411">
                  <c:v>25.6</c:v>
                </c:pt>
                <c:pt idx="412">
                  <c:v>25.8</c:v>
                </c:pt>
                <c:pt idx="413">
                  <c:v>26</c:v>
                </c:pt>
                <c:pt idx="414">
                  <c:v>26.2</c:v>
                </c:pt>
                <c:pt idx="415">
                  <c:v>26.4</c:v>
                </c:pt>
                <c:pt idx="416">
                  <c:v>26.6</c:v>
                </c:pt>
                <c:pt idx="417">
                  <c:v>26.9</c:v>
                </c:pt>
                <c:pt idx="418">
                  <c:v>27.1</c:v>
                </c:pt>
                <c:pt idx="419">
                  <c:v>27.3</c:v>
                </c:pt>
                <c:pt idx="420">
                  <c:v>27.6</c:v>
                </c:pt>
                <c:pt idx="421">
                  <c:v>27.8</c:v>
                </c:pt>
                <c:pt idx="422">
                  <c:v>28.1</c:v>
                </c:pt>
                <c:pt idx="423">
                  <c:v>28.3</c:v>
                </c:pt>
                <c:pt idx="424">
                  <c:v>28.6</c:v>
                </c:pt>
                <c:pt idx="425">
                  <c:v>28.8</c:v>
                </c:pt>
                <c:pt idx="426">
                  <c:v>29.1</c:v>
                </c:pt>
                <c:pt idx="427">
                  <c:v>29.4</c:v>
                </c:pt>
                <c:pt idx="428">
                  <c:v>29.6</c:v>
                </c:pt>
                <c:pt idx="429">
                  <c:v>29.9</c:v>
                </c:pt>
                <c:pt idx="430">
                  <c:v>30.2</c:v>
                </c:pt>
                <c:pt idx="431">
                  <c:v>30.5</c:v>
                </c:pt>
                <c:pt idx="432">
                  <c:v>30.8</c:v>
                </c:pt>
                <c:pt idx="433">
                  <c:v>31.1</c:v>
                </c:pt>
                <c:pt idx="434">
                  <c:v>31.4</c:v>
                </c:pt>
                <c:pt idx="435">
                  <c:v>31.7</c:v>
                </c:pt>
                <c:pt idx="436">
                  <c:v>32.1</c:v>
                </c:pt>
                <c:pt idx="437">
                  <c:v>32.4</c:v>
                </c:pt>
                <c:pt idx="438">
                  <c:v>32.700000000000003</c:v>
                </c:pt>
                <c:pt idx="439">
                  <c:v>33.1</c:v>
                </c:pt>
                <c:pt idx="440">
                  <c:v>33.4</c:v>
                </c:pt>
                <c:pt idx="441">
                  <c:v>33.799999999999997</c:v>
                </c:pt>
                <c:pt idx="442">
                  <c:v>34.1</c:v>
                </c:pt>
                <c:pt idx="443">
                  <c:v>34.5</c:v>
                </c:pt>
                <c:pt idx="444">
                  <c:v>34.9</c:v>
                </c:pt>
                <c:pt idx="445">
                  <c:v>35.299999999999997</c:v>
                </c:pt>
                <c:pt idx="446">
                  <c:v>35.700000000000003</c:v>
                </c:pt>
                <c:pt idx="447">
                  <c:v>36.1</c:v>
                </c:pt>
                <c:pt idx="448">
                  <c:v>36.5</c:v>
                </c:pt>
                <c:pt idx="449">
                  <c:v>36.9</c:v>
                </c:pt>
                <c:pt idx="450">
                  <c:v>37.4</c:v>
                </c:pt>
                <c:pt idx="451">
                  <c:v>37.799999999999997</c:v>
                </c:pt>
                <c:pt idx="452">
                  <c:v>38.299999999999997</c:v>
                </c:pt>
                <c:pt idx="453">
                  <c:v>38.700000000000003</c:v>
                </c:pt>
                <c:pt idx="454">
                  <c:v>39.200000000000003</c:v>
                </c:pt>
                <c:pt idx="455">
                  <c:v>39.700000000000003</c:v>
                </c:pt>
                <c:pt idx="456">
                  <c:v>40.200000000000003</c:v>
                </c:pt>
                <c:pt idx="457">
                  <c:v>40.700000000000003</c:v>
                </c:pt>
                <c:pt idx="458">
                  <c:v>41.3</c:v>
                </c:pt>
                <c:pt idx="459">
                  <c:v>41.8</c:v>
                </c:pt>
                <c:pt idx="460">
                  <c:v>42.4</c:v>
                </c:pt>
                <c:pt idx="461">
                  <c:v>42.9</c:v>
                </c:pt>
                <c:pt idx="462">
                  <c:v>43.5</c:v>
                </c:pt>
                <c:pt idx="463">
                  <c:v>44.1</c:v>
                </c:pt>
                <c:pt idx="464">
                  <c:v>44.7</c:v>
                </c:pt>
                <c:pt idx="465">
                  <c:v>45.4</c:v>
                </c:pt>
                <c:pt idx="466">
                  <c:v>46</c:v>
                </c:pt>
                <c:pt idx="467">
                  <c:v>46.7</c:v>
                </c:pt>
                <c:pt idx="468">
                  <c:v>47.4</c:v>
                </c:pt>
                <c:pt idx="469">
                  <c:v>48.1</c:v>
                </c:pt>
                <c:pt idx="470">
                  <c:v>48.8</c:v>
                </c:pt>
                <c:pt idx="471">
                  <c:v>49.5</c:v>
                </c:pt>
                <c:pt idx="472">
                  <c:v>50.3</c:v>
                </c:pt>
                <c:pt idx="473">
                  <c:v>51.1</c:v>
                </c:pt>
                <c:pt idx="474">
                  <c:v>51.9</c:v>
                </c:pt>
                <c:pt idx="475">
                  <c:v>52.7</c:v>
                </c:pt>
                <c:pt idx="476">
                  <c:v>53.6</c:v>
                </c:pt>
                <c:pt idx="477">
                  <c:v>54.5</c:v>
                </c:pt>
                <c:pt idx="478">
                  <c:v>55.4</c:v>
                </c:pt>
                <c:pt idx="479">
                  <c:v>56.4</c:v>
                </c:pt>
                <c:pt idx="480">
                  <c:v>57.4</c:v>
                </c:pt>
                <c:pt idx="481">
                  <c:v>58.4</c:v>
                </c:pt>
                <c:pt idx="482">
                  <c:v>59.5</c:v>
                </c:pt>
                <c:pt idx="483">
                  <c:v>60.5</c:v>
                </c:pt>
                <c:pt idx="484">
                  <c:v>61.7</c:v>
                </c:pt>
                <c:pt idx="485">
                  <c:v>62.9</c:v>
                </c:pt>
                <c:pt idx="486">
                  <c:v>64.099999999999994</c:v>
                </c:pt>
                <c:pt idx="487">
                  <c:v>65.400000000000006</c:v>
                </c:pt>
                <c:pt idx="488">
                  <c:v>66.7</c:v>
                </c:pt>
                <c:pt idx="489">
                  <c:v>68.099999999999994</c:v>
                </c:pt>
                <c:pt idx="490">
                  <c:v>69.599999999999994</c:v>
                </c:pt>
                <c:pt idx="491">
                  <c:v>71.099999999999994</c:v>
                </c:pt>
                <c:pt idx="492">
                  <c:v>72.7</c:v>
                </c:pt>
                <c:pt idx="493">
                  <c:v>74.400000000000006</c:v>
                </c:pt>
                <c:pt idx="494">
                  <c:v>76.2</c:v>
                </c:pt>
                <c:pt idx="495">
                  <c:v>78.099999999999994</c:v>
                </c:pt>
                <c:pt idx="496">
                  <c:v>80</c:v>
                </c:pt>
                <c:pt idx="497">
                  <c:v>82.1</c:v>
                </c:pt>
                <c:pt idx="498">
                  <c:v>84.3</c:v>
                </c:pt>
                <c:pt idx="499">
                  <c:v>86.6</c:v>
                </c:pt>
                <c:pt idx="500">
                  <c:v>89.2</c:v>
                </c:pt>
                <c:pt idx="501">
                  <c:v>91.7</c:v>
                </c:pt>
                <c:pt idx="502">
                  <c:v>94.4</c:v>
                </c:pt>
                <c:pt idx="503">
                  <c:v>97.4</c:v>
                </c:pt>
                <c:pt idx="504">
                  <c:v>100.7</c:v>
                </c:pt>
                <c:pt idx="505">
                  <c:v>104.5</c:v>
                </c:pt>
                <c:pt idx="506">
                  <c:v>107.6</c:v>
                </c:pt>
                <c:pt idx="507">
                  <c:v>111.3</c:v>
                </c:pt>
                <c:pt idx="508">
                  <c:v>115.4</c:v>
                </c:pt>
                <c:pt idx="509">
                  <c:v>120.1</c:v>
                </c:pt>
                <c:pt idx="510">
                  <c:v>125.6</c:v>
                </c:pt>
                <c:pt idx="511">
                  <c:v>129.9</c:v>
                </c:pt>
                <c:pt idx="512">
                  <c:v>134.69999999999999</c:v>
                </c:pt>
                <c:pt idx="513">
                  <c:v>140.30000000000001</c:v>
                </c:pt>
                <c:pt idx="514">
                  <c:v>146.6</c:v>
                </c:pt>
                <c:pt idx="515">
                  <c:v>154.30000000000001</c:v>
                </c:pt>
                <c:pt idx="516">
                  <c:v>160.4</c:v>
                </c:pt>
                <c:pt idx="517">
                  <c:v>166</c:v>
                </c:pt>
                <c:pt idx="518">
                  <c:v>172.8</c:v>
                </c:pt>
                <c:pt idx="519">
                  <c:v>180.6</c:v>
                </c:pt>
                <c:pt idx="520">
                  <c:v>190</c:v>
                </c:pt>
                <c:pt idx="521">
                  <c:v>198.9</c:v>
                </c:pt>
                <c:pt idx="522">
                  <c:v>203.5</c:v>
                </c:pt>
                <c:pt idx="523">
                  <c:v>210.2</c:v>
                </c:pt>
                <c:pt idx="524">
                  <c:v>218.2</c:v>
                </c:pt>
                <c:pt idx="525">
                  <c:v>227.3</c:v>
                </c:pt>
                <c:pt idx="526">
                  <c:v>239.1</c:v>
                </c:pt>
                <c:pt idx="527">
                  <c:v>240.3</c:v>
                </c:pt>
                <c:pt idx="528">
                  <c:v>245.1</c:v>
                </c:pt>
                <c:pt idx="529">
                  <c:v>250.9</c:v>
                </c:pt>
                <c:pt idx="530">
                  <c:v>257.2</c:v>
                </c:pt>
                <c:pt idx="531">
                  <c:v>264.3</c:v>
                </c:pt>
                <c:pt idx="532">
                  <c:v>266.5</c:v>
                </c:pt>
                <c:pt idx="533">
                  <c:v>268.39999999999998</c:v>
                </c:pt>
                <c:pt idx="534">
                  <c:v>271.10000000000002</c:v>
                </c:pt>
                <c:pt idx="535">
                  <c:v>273.89999999999998</c:v>
                </c:pt>
                <c:pt idx="536">
                  <c:v>276.5</c:v>
                </c:pt>
                <c:pt idx="537">
                  <c:v>278.3</c:v>
                </c:pt>
                <c:pt idx="538">
                  <c:v>278.89999999999998</c:v>
                </c:pt>
                <c:pt idx="539">
                  <c:v>279.8</c:v>
                </c:pt>
                <c:pt idx="540">
                  <c:v>280.7</c:v>
                </c:pt>
                <c:pt idx="541">
                  <c:v>281.39999999999998</c:v>
                </c:pt>
                <c:pt idx="542">
                  <c:v>282.10000000000002</c:v>
                </c:pt>
                <c:pt idx="543">
                  <c:v>282.5</c:v>
                </c:pt>
                <c:pt idx="544">
                  <c:v>282.89999999999998</c:v>
                </c:pt>
                <c:pt idx="545">
                  <c:v>283.3</c:v>
                </c:pt>
                <c:pt idx="546">
                  <c:v>283.60000000000002</c:v>
                </c:pt>
                <c:pt idx="547">
                  <c:v>283.89999999999998</c:v>
                </c:pt>
                <c:pt idx="548">
                  <c:v>284.10000000000002</c:v>
                </c:pt>
                <c:pt idx="549">
                  <c:v>284.39999999999998</c:v>
                </c:pt>
                <c:pt idx="550">
                  <c:v>284.60000000000002</c:v>
                </c:pt>
                <c:pt idx="551">
                  <c:v>284.7</c:v>
                </c:pt>
                <c:pt idx="552">
                  <c:v>284.89999999999998</c:v>
                </c:pt>
                <c:pt idx="553">
                  <c:v>285.10000000000002</c:v>
                </c:pt>
                <c:pt idx="554">
                  <c:v>285.2</c:v>
                </c:pt>
                <c:pt idx="555">
                  <c:v>285.3</c:v>
                </c:pt>
                <c:pt idx="556">
                  <c:v>285.39999999999998</c:v>
                </c:pt>
                <c:pt idx="557">
                  <c:v>285.5</c:v>
                </c:pt>
                <c:pt idx="558">
                  <c:v>285.60000000000002</c:v>
                </c:pt>
                <c:pt idx="559">
                  <c:v>285.7</c:v>
                </c:pt>
                <c:pt idx="560">
                  <c:v>285.8</c:v>
                </c:pt>
                <c:pt idx="561">
                  <c:v>285.89999999999998</c:v>
                </c:pt>
                <c:pt idx="562">
                  <c:v>285.89999999999998</c:v>
                </c:pt>
                <c:pt idx="563">
                  <c:v>286</c:v>
                </c:pt>
                <c:pt idx="564">
                  <c:v>286</c:v>
                </c:pt>
                <c:pt idx="565">
                  <c:v>286.10000000000002</c:v>
                </c:pt>
                <c:pt idx="566">
                  <c:v>286.10000000000002</c:v>
                </c:pt>
                <c:pt idx="567">
                  <c:v>286.2</c:v>
                </c:pt>
                <c:pt idx="568">
                  <c:v>286.2</c:v>
                </c:pt>
                <c:pt idx="569">
                  <c:v>286.3</c:v>
                </c:pt>
                <c:pt idx="570">
                  <c:v>286.3</c:v>
                </c:pt>
                <c:pt idx="571">
                  <c:v>286.39999999999998</c:v>
                </c:pt>
                <c:pt idx="572">
                  <c:v>286.39999999999998</c:v>
                </c:pt>
                <c:pt idx="573">
                  <c:v>286.39999999999998</c:v>
                </c:pt>
                <c:pt idx="574">
                  <c:v>286.39999999999998</c:v>
                </c:pt>
                <c:pt idx="575">
                  <c:v>286.5</c:v>
                </c:pt>
                <c:pt idx="576">
                  <c:v>286.5</c:v>
                </c:pt>
                <c:pt idx="577">
                  <c:v>286.5</c:v>
                </c:pt>
                <c:pt idx="578">
                  <c:v>286.5</c:v>
                </c:pt>
                <c:pt idx="579">
                  <c:v>286.5</c:v>
                </c:pt>
                <c:pt idx="580">
                  <c:v>286.5</c:v>
                </c:pt>
                <c:pt idx="581">
                  <c:v>286.60000000000002</c:v>
                </c:pt>
                <c:pt idx="582">
                  <c:v>286.60000000000002</c:v>
                </c:pt>
                <c:pt idx="583">
                  <c:v>286.60000000000002</c:v>
                </c:pt>
                <c:pt idx="584">
                  <c:v>286.60000000000002</c:v>
                </c:pt>
                <c:pt idx="585">
                  <c:v>286.60000000000002</c:v>
                </c:pt>
                <c:pt idx="586">
                  <c:v>286.60000000000002</c:v>
                </c:pt>
                <c:pt idx="587">
                  <c:v>286.60000000000002</c:v>
                </c:pt>
                <c:pt idx="588">
                  <c:v>286.7</c:v>
                </c:pt>
                <c:pt idx="589">
                  <c:v>286.7</c:v>
                </c:pt>
                <c:pt idx="590">
                  <c:v>286.7</c:v>
                </c:pt>
                <c:pt idx="591">
                  <c:v>286.7</c:v>
                </c:pt>
                <c:pt idx="592">
                  <c:v>286.7</c:v>
                </c:pt>
                <c:pt idx="593">
                  <c:v>286.7</c:v>
                </c:pt>
                <c:pt idx="594">
                  <c:v>286.7</c:v>
                </c:pt>
                <c:pt idx="595">
                  <c:v>286.7</c:v>
                </c:pt>
                <c:pt idx="596">
                  <c:v>286.7</c:v>
                </c:pt>
                <c:pt idx="597">
                  <c:v>286.7</c:v>
                </c:pt>
                <c:pt idx="598">
                  <c:v>286.7</c:v>
                </c:pt>
                <c:pt idx="599">
                  <c:v>286.7</c:v>
                </c:pt>
                <c:pt idx="600">
                  <c:v>286.7</c:v>
                </c:pt>
                <c:pt idx="601">
                  <c:v>286.7</c:v>
                </c:pt>
                <c:pt idx="602">
                  <c:v>286.7</c:v>
                </c:pt>
                <c:pt idx="603">
                  <c:v>286.7</c:v>
                </c:pt>
                <c:pt idx="604">
                  <c:v>286.7</c:v>
                </c:pt>
                <c:pt idx="605">
                  <c:v>286.60000000000002</c:v>
                </c:pt>
                <c:pt idx="606">
                  <c:v>286.60000000000002</c:v>
                </c:pt>
                <c:pt idx="607">
                  <c:v>286.60000000000002</c:v>
                </c:pt>
                <c:pt idx="608">
                  <c:v>286.60000000000002</c:v>
                </c:pt>
                <c:pt idx="609">
                  <c:v>286.60000000000002</c:v>
                </c:pt>
                <c:pt idx="610">
                  <c:v>286.60000000000002</c:v>
                </c:pt>
                <c:pt idx="611">
                  <c:v>286.5</c:v>
                </c:pt>
                <c:pt idx="612">
                  <c:v>286.5</c:v>
                </c:pt>
                <c:pt idx="613">
                  <c:v>286.5</c:v>
                </c:pt>
                <c:pt idx="614">
                  <c:v>286.39999999999998</c:v>
                </c:pt>
                <c:pt idx="615">
                  <c:v>286.39999999999998</c:v>
                </c:pt>
                <c:pt idx="616">
                  <c:v>286.3</c:v>
                </c:pt>
                <c:pt idx="617">
                  <c:v>286.2</c:v>
                </c:pt>
                <c:pt idx="618">
                  <c:v>286.10000000000002</c:v>
                </c:pt>
                <c:pt idx="619">
                  <c:v>286</c:v>
                </c:pt>
                <c:pt idx="620">
                  <c:v>285.89999999999998</c:v>
                </c:pt>
                <c:pt idx="621">
                  <c:v>285.8</c:v>
                </c:pt>
                <c:pt idx="622">
                  <c:v>285.7</c:v>
                </c:pt>
                <c:pt idx="623">
                  <c:v>285.60000000000002</c:v>
                </c:pt>
                <c:pt idx="624">
                  <c:v>285.39999999999998</c:v>
                </c:pt>
                <c:pt idx="625">
                  <c:v>285.3</c:v>
                </c:pt>
                <c:pt idx="626">
                  <c:v>285.10000000000002</c:v>
                </c:pt>
                <c:pt idx="627">
                  <c:v>284.89999999999998</c:v>
                </c:pt>
                <c:pt idx="628">
                  <c:v>284.7</c:v>
                </c:pt>
                <c:pt idx="629">
                  <c:v>284.39999999999998</c:v>
                </c:pt>
                <c:pt idx="630">
                  <c:v>284.2</c:v>
                </c:pt>
                <c:pt idx="631">
                  <c:v>283.89999999999998</c:v>
                </c:pt>
                <c:pt idx="632">
                  <c:v>283.60000000000002</c:v>
                </c:pt>
                <c:pt idx="633">
                  <c:v>283.3</c:v>
                </c:pt>
                <c:pt idx="634">
                  <c:v>282.8</c:v>
                </c:pt>
                <c:pt idx="635">
                  <c:v>282.39999999999998</c:v>
                </c:pt>
                <c:pt idx="636">
                  <c:v>281.89999999999998</c:v>
                </c:pt>
                <c:pt idx="637">
                  <c:v>281.39999999999998</c:v>
                </c:pt>
                <c:pt idx="638">
                  <c:v>280.5</c:v>
                </c:pt>
                <c:pt idx="639">
                  <c:v>279.3</c:v>
                </c:pt>
                <c:pt idx="640">
                  <c:v>278</c:v>
                </c:pt>
                <c:pt idx="641">
                  <c:v>276.8</c:v>
                </c:pt>
                <c:pt idx="642">
                  <c:v>276.10000000000002</c:v>
                </c:pt>
                <c:pt idx="643">
                  <c:v>273.39999999999998</c:v>
                </c:pt>
                <c:pt idx="644">
                  <c:v>269.8</c:v>
                </c:pt>
                <c:pt idx="645">
                  <c:v>266.2</c:v>
                </c:pt>
                <c:pt idx="646">
                  <c:v>262.89999999999998</c:v>
                </c:pt>
                <c:pt idx="647">
                  <c:v>260.3</c:v>
                </c:pt>
                <c:pt idx="648">
                  <c:v>257.10000000000002</c:v>
                </c:pt>
                <c:pt idx="649">
                  <c:v>249.5</c:v>
                </c:pt>
                <c:pt idx="650">
                  <c:v>242.9</c:v>
                </c:pt>
                <c:pt idx="651">
                  <c:v>236.9</c:v>
                </c:pt>
                <c:pt idx="652">
                  <c:v>231.9</c:v>
                </c:pt>
                <c:pt idx="653">
                  <c:v>229.8</c:v>
                </c:pt>
                <c:pt idx="654">
                  <c:v>219.1</c:v>
                </c:pt>
                <c:pt idx="655">
                  <c:v>210.9</c:v>
                </c:pt>
                <c:pt idx="656">
                  <c:v>203.7</c:v>
                </c:pt>
                <c:pt idx="657">
                  <c:v>197.5</c:v>
                </c:pt>
                <c:pt idx="658">
                  <c:v>192.8</c:v>
                </c:pt>
                <c:pt idx="659">
                  <c:v>185.6</c:v>
                </c:pt>
                <c:pt idx="660">
                  <c:v>177.9</c:v>
                </c:pt>
                <c:pt idx="661">
                  <c:v>171.4</c:v>
                </c:pt>
                <c:pt idx="662">
                  <c:v>165.6</c:v>
                </c:pt>
                <c:pt idx="663">
                  <c:v>160.6</c:v>
                </c:pt>
                <c:pt idx="664">
                  <c:v>155.9</c:v>
                </c:pt>
                <c:pt idx="665">
                  <c:v>149.80000000000001</c:v>
                </c:pt>
                <c:pt idx="666">
                  <c:v>144.6</c:v>
                </c:pt>
                <c:pt idx="667">
                  <c:v>140.1</c:v>
                </c:pt>
                <c:pt idx="668">
                  <c:v>136</c:v>
                </c:pt>
                <c:pt idx="669">
                  <c:v>132.6</c:v>
                </c:pt>
                <c:pt idx="670">
                  <c:v>128.19999999999999</c:v>
                </c:pt>
                <c:pt idx="671">
                  <c:v>124.4</c:v>
                </c:pt>
                <c:pt idx="672">
                  <c:v>121</c:v>
                </c:pt>
                <c:pt idx="673">
                  <c:v>117.8</c:v>
                </c:pt>
                <c:pt idx="674">
                  <c:v>115</c:v>
                </c:pt>
                <c:pt idx="675">
                  <c:v>112.1</c:v>
                </c:pt>
                <c:pt idx="676">
                  <c:v>109.4</c:v>
                </c:pt>
                <c:pt idx="677">
                  <c:v>106.8</c:v>
                </c:pt>
                <c:pt idx="678">
                  <c:v>104.4</c:v>
                </c:pt>
                <c:pt idx="679">
                  <c:v>102.2</c:v>
                </c:pt>
                <c:pt idx="680">
                  <c:v>100.1</c:v>
                </c:pt>
                <c:pt idx="681">
                  <c:v>98</c:v>
                </c:pt>
                <c:pt idx="682">
                  <c:v>96.1</c:v>
                </c:pt>
                <c:pt idx="683">
                  <c:v>94.3</c:v>
                </c:pt>
                <c:pt idx="684">
                  <c:v>92.5</c:v>
                </c:pt>
                <c:pt idx="685">
                  <c:v>90.9</c:v>
                </c:pt>
                <c:pt idx="686">
                  <c:v>89.3</c:v>
                </c:pt>
                <c:pt idx="687">
                  <c:v>87.8</c:v>
                </c:pt>
                <c:pt idx="688">
                  <c:v>86.4</c:v>
                </c:pt>
                <c:pt idx="689">
                  <c:v>85.1</c:v>
                </c:pt>
                <c:pt idx="690">
                  <c:v>83.8</c:v>
                </c:pt>
                <c:pt idx="691">
                  <c:v>82.5</c:v>
                </c:pt>
                <c:pt idx="692">
                  <c:v>81.3</c:v>
                </c:pt>
                <c:pt idx="693">
                  <c:v>80.099999999999994</c:v>
                </c:pt>
                <c:pt idx="694">
                  <c:v>79</c:v>
                </c:pt>
                <c:pt idx="695">
                  <c:v>77.900000000000006</c:v>
                </c:pt>
                <c:pt idx="696">
                  <c:v>76.900000000000006</c:v>
                </c:pt>
                <c:pt idx="697">
                  <c:v>75.900000000000006</c:v>
                </c:pt>
                <c:pt idx="698">
                  <c:v>74.900000000000006</c:v>
                </c:pt>
                <c:pt idx="699">
                  <c:v>74</c:v>
                </c:pt>
                <c:pt idx="700">
                  <c:v>73.099999999999994</c:v>
                </c:pt>
                <c:pt idx="701">
                  <c:v>72.2</c:v>
                </c:pt>
                <c:pt idx="702">
                  <c:v>71.400000000000006</c:v>
                </c:pt>
                <c:pt idx="703">
                  <c:v>70.5</c:v>
                </c:pt>
                <c:pt idx="704">
                  <c:v>69.7</c:v>
                </c:pt>
                <c:pt idx="705">
                  <c:v>69</c:v>
                </c:pt>
                <c:pt idx="706">
                  <c:v>68.2</c:v>
                </c:pt>
                <c:pt idx="707">
                  <c:v>67.5</c:v>
                </c:pt>
                <c:pt idx="708">
                  <c:v>66.8</c:v>
                </c:pt>
                <c:pt idx="709">
                  <c:v>66.099999999999994</c:v>
                </c:pt>
                <c:pt idx="710">
                  <c:v>65.5</c:v>
                </c:pt>
                <c:pt idx="711">
                  <c:v>64.8</c:v>
                </c:pt>
                <c:pt idx="712">
                  <c:v>64.2</c:v>
                </c:pt>
                <c:pt idx="713">
                  <c:v>63.6</c:v>
                </c:pt>
                <c:pt idx="714">
                  <c:v>63</c:v>
                </c:pt>
                <c:pt idx="715">
                  <c:v>62.4</c:v>
                </c:pt>
                <c:pt idx="716">
                  <c:v>61.9</c:v>
                </c:pt>
                <c:pt idx="717">
                  <c:v>61.3</c:v>
                </c:pt>
                <c:pt idx="718">
                  <c:v>60.8</c:v>
                </c:pt>
                <c:pt idx="719">
                  <c:v>60.3</c:v>
                </c:pt>
                <c:pt idx="720">
                  <c:v>59.8</c:v>
                </c:pt>
                <c:pt idx="721">
                  <c:v>59.3</c:v>
                </c:pt>
                <c:pt idx="722">
                  <c:v>58.9</c:v>
                </c:pt>
                <c:pt idx="723">
                  <c:v>58.4</c:v>
                </c:pt>
                <c:pt idx="724">
                  <c:v>58</c:v>
                </c:pt>
                <c:pt idx="725">
                  <c:v>57.5</c:v>
                </c:pt>
                <c:pt idx="726">
                  <c:v>57.1</c:v>
                </c:pt>
                <c:pt idx="727">
                  <c:v>56.7</c:v>
                </c:pt>
                <c:pt idx="728">
                  <c:v>56.3</c:v>
                </c:pt>
                <c:pt idx="729">
                  <c:v>55.9</c:v>
                </c:pt>
                <c:pt idx="730">
                  <c:v>55.5</c:v>
                </c:pt>
                <c:pt idx="731">
                  <c:v>55.2</c:v>
                </c:pt>
                <c:pt idx="732">
                  <c:v>54.8</c:v>
                </c:pt>
                <c:pt idx="733">
                  <c:v>54.5</c:v>
                </c:pt>
                <c:pt idx="734">
                  <c:v>54.1</c:v>
                </c:pt>
                <c:pt idx="735">
                  <c:v>53.8</c:v>
                </c:pt>
                <c:pt idx="736">
                  <c:v>53.5</c:v>
                </c:pt>
                <c:pt idx="737">
                  <c:v>53.2</c:v>
                </c:pt>
                <c:pt idx="738">
                  <c:v>52.8</c:v>
                </c:pt>
                <c:pt idx="739">
                  <c:v>52.5</c:v>
                </c:pt>
                <c:pt idx="740">
                  <c:v>52.3</c:v>
                </c:pt>
                <c:pt idx="741">
                  <c:v>52</c:v>
                </c:pt>
                <c:pt idx="742">
                  <c:v>51.7</c:v>
                </c:pt>
                <c:pt idx="743">
                  <c:v>51.4</c:v>
                </c:pt>
                <c:pt idx="744">
                  <c:v>51.2</c:v>
                </c:pt>
                <c:pt idx="745">
                  <c:v>50.9</c:v>
                </c:pt>
                <c:pt idx="746">
                  <c:v>50.6</c:v>
                </c:pt>
                <c:pt idx="747">
                  <c:v>50.4</c:v>
                </c:pt>
                <c:pt idx="748">
                  <c:v>50.2</c:v>
                </c:pt>
                <c:pt idx="749">
                  <c:v>49.9</c:v>
                </c:pt>
                <c:pt idx="750">
                  <c:v>49.7</c:v>
                </c:pt>
                <c:pt idx="751">
                  <c:v>49.5</c:v>
                </c:pt>
                <c:pt idx="752">
                  <c:v>49.3</c:v>
                </c:pt>
                <c:pt idx="753">
                  <c:v>49</c:v>
                </c:pt>
                <c:pt idx="754">
                  <c:v>48.8</c:v>
                </c:pt>
                <c:pt idx="755">
                  <c:v>48.6</c:v>
                </c:pt>
                <c:pt idx="756">
                  <c:v>48.4</c:v>
                </c:pt>
                <c:pt idx="757">
                  <c:v>48.2</c:v>
                </c:pt>
                <c:pt idx="758">
                  <c:v>48.1</c:v>
                </c:pt>
                <c:pt idx="759">
                  <c:v>47.9</c:v>
                </c:pt>
                <c:pt idx="760">
                  <c:v>47.7</c:v>
                </c:pt>
                <c:pt idx="761">
                  <c:v>47.5</c:v>
                </c:pt>
                <c:pt idx="762">
                  <c:v>47.3</c:v>
                </c:pt>
                <c:pt idx="763">
                  <c:v>47.2</c:v>
                </c:pt>
                <c:pt idx="764">
                  <c:v>47</c:v>
                </c:pt>
                <c:pt idx="765">
                  <c:v>46.9</c:v>
                </c:pt>
                <c:pt idx="766">
                  <c:v>46.7</c:v>
                </c:pt>
                <c:pt idx="767">
                  <c:v>46.6</c:v>
                </c:pt>
                <c:pt idx="768">
                  <c:v>46.4</c:v>
                </c:pt>
                <c:pt idx="769">
                  <c:v>46.3</c:v>
                </c:pt>
                <c:pt idx="770">
                  <c:v>46.1</c:v>
                </c:pt>
                <c:pt idx="771">
                  <c:v>46</c:v>
                </c:pt>
                <c:pt idx="772">
                  <c:v>45.9</c:v>
                </c:pt>
                <c:pt idx="773">
                  <c:v>45.7</c:v>
                </c:pt>
                <c:pt idx="774">
                  <c:v>45.6</c:v>
                </c:pt>
                <c:pt idx="775">
                  <c:v>45.5</c:v>
                </c:pt>
                <c:pt idx="776">
                  <c:v>45.4</c:v>
                </c:pt>
                <c:pt idx="777">
                  <c:v>45.2</c:v>
                </c:pt>
                <c:pt idx="778">
                  <c:v>45.1</c:v>
                </c:pt>
                <c:pt idx="779">
                  <c:v>45</c:v>
                </c:pt>
                <c:pt idx="780">
                  <c:v>44.9</c:v>
                </c:pt>
                <c:pt idx="781">
                  <c:v>44.8</c:v>
                </c:pt>
                <c:pt idx="782">
                  <c:v>44.7</c:v>
                </c:pt>
                <c:pt idx="783">
                  <c:v>44.6</c:v>
                </c:pt>
                <c:pt idx="784">
                  <c:v>44.5</c:v>
                </c:pt>
                <c:pt idx="785">
                  <c:v>44.4</c:v>
                </c:pt>
                <c:pt idx="786">
                  <c:v>44.3</c:v>
                </c:pt>
                <c:pt idx="787">
                  <c:v>44.2</c:v>
                </c:pt>
                <c:pt idx="788">
                  <c:v>44.1</c:v>
                </c:pt>
                <c:pt idx="789">
                  <c:v>44</c:v>
                </c:pt>
                <c:pt idx="790">
                  <c:v>44</c:v>
                </c:pt>
                <c:pt idx="791">
                  <c:v>43.9</c:v>
                </c:pt>
                <c:pt idx="792">
                  <c:v>43.8</c:v>
                </c:pt>
                <c:pt idx="793">
                  <c:v>43.7</c:v>
                </c:pt>
                <c:pt idx="794">
                  <c:v>43.6</c:v>
                </c:pt>
                <c:pt idx="795">
                  <c:v>43.6</c:v>
                </c:pt>
                <c:pt idx="796">
                  <c:v>43.5</c:v>
                </c:pt>
                <c:pt idx="797">
                  <c:v>43.4</c:v>
                </c:pt>
                <c:pt idx="798">
                  <c:v>43.4</c:v>
                </c:pt>
                <c:pt idx="799">
                  <c:v>43.3</c:v>
                </c:pt>
                <c:pt idx="800">
                  <c:v>43.2</c:v>
                </c:pt>
                <c:pt idx="801">
                  <c:v>43.2</c:v>
                </c:pt>
                <c:pt idx="802">
                  <c:v>43.1</c:v>
                </c:pt>
                <c:pt idx="803">
                  <c:v>43.1</c:v>
                </c:pt>
                <c:pt idx="804">
                  <c:v>43</c:v>
                </c:pt>
                <c:pt idx="805">
                  <c:v>43</c:v>
                </c:pt>
                <c:pt idx="806">
                  <c:v>42.9</c:v>
                </c:pt>
                <c:pt idx="807">
                  <c:v>42.9</c:v>
                </c:pt>
                <c:pt idx="808">
                  <c:v>42.8</c:v>
                </c:pt>
                <c:pt idx="809">
                  <c:v>42.8</c:v>
                </c:pt>
                <c:pt idx="810">
                  <c:v>42.7</c:v>
                </c:pt>
                <c:pt idx="811">
                  <c:v>42.7</c:v>
                </c:pt>
                <c:pt idx="812">
                  <c:v>42.6</c:v>
                </c:pt>
                <c:pt idx="813">
                  <c:v>42.6</c:v>
                </c:pt>
                <c:pt idx="814">
                  <c:v>42.5</c:v>
                </c:pt>
                <c:pt idx="815">
                  <c:v>42.5</c:v>
                </c:pt>
                <c:pt idx="816">
                  <c:v>42.5</c:v>
                </c:pt>
                <c:pt idx="817">
                  <c:v>42.4</c:v>
                </c:pt>
                <c:pt idx="818">
                  <c:v>42.4</c:v>
                </c:pt>
                <c:pt idx="819">
                  <c:v>42.4</c:v>
                </c:pt>
                <c:pt idx="820">
                  <c:v>42.3</c:v>
                </c:pt>
                <c:pt idx="821">
                  <c:v>42.3</c:v>
                </c:pt>
                <c:pt idx="822">
                  <c:v>42.3</c:v>
                </c:pt>
                <c:pt idx="823">
                  <c:v>42.3</c:v>
                </c:pt>
                <c:pt idx="824">
                  <c:v>42.2</c:v>
                </c:pt>
                <c:pt idx="825">
                  <c:v>42.2</c:v>
                </c:pt>
                <c:pt idx="826">
                  <c:v>42.2</c:v>
                </c:pt>
                <c:pt idx="827">
                  <c:v>42.2</c:v>
                </c:pt>
                <c:pt idx="828">
                  <c:v>42.1</c:v>
                </c:pt>
                <c:pt idx="829">
                  <c:v>42.1</c:v>
                </c:pt>
                <c:pt idx="830">
                  <c:v>42.1</c:v>
                </c:pt>
                <c:pt idx="831">
                  <c:v>42.1</c:v>
                </c:pt>
                <c:pt idx="832">
                  <c:v>42.1</c:v>
                </c:pt>
                <c:pt idx="833">
                  <c:v>42</c:v>
                </c:pt>
                <c:pt idx="834">
                  <c:v>42</c:v>
                </c:pt>
                <c:pt idx="835">
                  <c:v>42</c:v>
                </c:pt>
                <c:pt idx="836">
                  <c:v>42</c:v>
                </c:pt>
                <c:pt idx="837">
                  <c:v>42</c:v>
                </c:pt>
                <c:pt idx="838">
                  <c:v>42</c:v>
                </c:pt>
                <c:pt idx="839">
                  <c:v>42</c:v>
                </c:pt>
                <c:pt idx="840">
                  <c:v>42</c:v>
                </c:pt>
                <c:pt idx="841">
                  <c:v>42</c:v>
                </c:pt>
                <c:pt idx="842">
                  <c:v>42</c:v>
                </c:pt>
                <c:pt idx="843">
                  <c:v>42</c:v>
                </c:pt>
                <c:pt idx="844">
                  <c:v>41.9</c:v>
                </c:pt>
                <c:pt idx="845">
                  <c:v>41.9</c:v>
                </c:pt>
                <c:pt idx="846">
                  <c:v>41.9</c:v>
                </c:pt>
                <c:pt idx="847">
                  <c:v>41.9</c:v>
                </c:pt>
                <c:pt idx="848">
                  <c:v>41.9</c:v>
                </c:pt>
                <c:pt idx="849">
                  <c:v>41.9</c:v>
                </c:pt>
                <c:pt idx="850">
                  <c:v>41.9</c:v>
                </c:pt>
                <c:pt idx="851">
                  <c:v>41.9</c:v>
                </c:pt>
                <c:pt idx="852">
                  <c:v>41.9</c:v>
                </c:pt>
                <c:pt idx="853">
                  <c:v>41.9</c:v>
                </c:pt>
                <c:pt idx="854">
                  <c:v>42</c:v>
                </c:pt>
                <c:pt idx="855">
                  <c:v>42</c:v>
                </c:pt>
                <c:pt idx="856">
                  <c:v>42</c:v>
                </c:pt>
                <c:pt idx="857">
                  <c:v>42</c:v>
                </c:pt>
                <c:pt idx="858">
                  <c:v>42</c:v>
                </c:pt>
                <c:pt idx="859">
                  <c:v>42</c:v>
                </c:pt>
                <c:pt idx="860">
                  <c:v>42</c:v>
                </c:pt>
                <c:pt idx="861">
                  <c:v>42</c:v>
                </c:pt>
                <c:pt idx="862">
                  <c:v>42</c:v>
                </c:pt>
                <c:pt idx="863">
                  <c:v>42</c:v>
                </c:pt>
                <c:pt idx="864">
                  <c:v>42</c:v>
                </c:pt>
                <c:pt idx="865">
                  <c:v>42.1</c:v>
                </c:pt>
                <c:pt idx="866">
                  <c:v>42.1</c:v>
                </c:pt>
                <c:pt idx="867">
                  <c:v>42.1</c:v>
                </c:pt>
                <c:pt idx="868">
                  <c:v>42.1</c:v>
                </c:pt>
                <c:pt idx="869">
                  <c:v>42.1</c:v>
                </c:pt>
                <c:pt idx="870">
                  <c:v>42.1</c:v>
                </c:pt>
                <c:pt idx="871">
                  <c:v>42.2</c:v>
                </c:pt>
                <c:pt idx="872">
                  <c:v>42.2</c:v>
                </c:pt>
                <c:pt idx="873">
                  <c:v>42.2</c:v>
                </c:pt>
                <c:pt idx="874">
                  <c:v>42.2</c:v>
                </c:pt>
                <c:pt idx="875">
                  <c:v>42.2</c:v>
                </c:pt>
                <c:pt idx="876">
                  <c:v>42.2</c:v>
                </c:pt>
                <c:pt idx="877">
                  <c:v>42.3</c:v>
                </c:pt>
                <c:pt idx="878">
                  <c:v>42.3</c:v>
                </c:pt>
                <c:pt idx="879">
                  <c:v>42.3</c:v>
                </c:pt>
                <c:pt idx="880">
                  <c:v>42.3</c:v>
                </c:pt>
                <c:pt idx="881">
                  <c:v>42.4</c:v>
                </c:pt>
                <c:pt idx="882">
                  <c:v>42.4</c:v>
                </c:pt>
                <c:pt idx="883">
                  <c:v>42.4</c:v>
                </c:pt>
                <c:pt idx="884">
                  <c:v>42.4</c:v>
                </c:pt>
                <c:pt idx="885">
                  <c:v>42.5</c:v>
                </c:pt>
                <c:pt idx="886">
                  <c:v>42.5</c:v>
                </c:pt>
                <c:pt idx="887">
                  <c:v>42.5</c:v>
                </c:pt>
                <c:pt idx="888">
                  <c:v>42.5</c:v>
                </c:pt>
                <c:pt idx="889">
                  <c:v>42.6</c:v>
                </c:pt>
                <c:pt idx="890">
                  <c:v>42.6</c:v>
                </c:pt>
                <c:pt idx="891">
                  <c:v>42.6</c:v>
                </c:pt>
                <c:pt idx="892">
                  <c:v>42.7</c:v>
                </c:pt>
                <c:pt idx="893">
                  <c:v>42.7</c:v>
                </c:pt>
                <c:pt idx="894">
                  <c:v>42.7</c:v>
                </c:pt>
                <c:pt idx="895">
                  <c:v>42.8</c:v>
                </c:pt>
                <c:pt idx="896">
                  <c:v>42.8</c:v>
                </c:pt>
                <c:pt idx="897">
                  <c:v>42.8</c:v>
                </c:pt>
                <c:pt idx="898">
                  <c:v>42.9</c:v>
                </c:pt>
                <c:pt idx="899">
                  <c:v>42.9</c:v>
                </c:pt>
                <c:pt idx="900">
                  <c:v>42.9</c:v>
                </c:pt>
                <c:pt idx="901">
                  <c:v>43</c:v>
                </c:pt>
                <c:pt idx="902">
                  <c:v>43</c:v>
                </c:pt>
                <c:pt idx="903">
                  <c:v>43</c:v>
                </c:pt>
                <c:pt idx="904">
                  <c:v>43.1</c:v>
                </c:pt>
                <c:pt idx="905">
                  <c:v>43.1</c:v>
                </c:pt>
                <c:pt idx="906">
                  <c:v>43.1</c:v>
                </c:pt>
                <c:pt idx="907">
                  <c:v>43.2</c:v>
                </c:pt>
                <c:pt idx="908">
                  <c:v>43.2</c:v>
                </c:pt>
                <c:pt idx="909">
                  <c:v>43.3</c:v>
                </c:pt>
                <c:pt idx="910">
                  <c:v>43.3</c:v>
                </c:pt>
                <c:pt idx="911">
                  <c:v>43.3</c:v>
                </c:pt>
                <c:pt idx="912">
                  <c:v>43.4</c:v>
                </c:pt>
                <c:pt idx="913">
                  <c:v>43.4</c:v>
                </c:pt>
                <c:pt idx="914">
                  <c:v>43.5</c:v>
                </c:pt>
                <c:pt idx="915">
                  <c:v>43.5</c:v>
                </c:pt>
                <c:pt idx="916">
                  <c:v>43.5</c:v>
                </c:pt>
                <c:pt idx="917">
                  <c:v>43.6</c:v>
                </c:pt>
                <c:pt idx="918">
                  <c:v>43.6</c:v>
                </c:pt>
                <c:pt idx="919">
                  <c:v>43.7</c:v>
                </c:pt>
                <c:pt idx="920">
                  <c:v>43.7</c:v>
                </c:pt>
                <c:pt idx="921">
                  <c:v>43.8</c:v>
                </c:pt>
                <c:pt idx="922">
                  <c:v>43.8</c:v>
                </c:pt>
                <c:pt idx="923">
                  <c:v>43.9</c:v>
                </c:pt>
                <c:pt idx="924">
                  <c:v>43.9</c:v>
                </c:pt>
                <c:pt idx="925">
                  <c:v>44</c:v>
                </c:pt>
                <c:pt idx="926">
                  <c:v>44</c:v>
                </c:pt>
                <c:pt idx="927">
                  <c:v>44.1</c:v>
                </c:pt>
                <c:pt idx="928">
                  <c:v>44.1</c:v>
                </c:pt>
                <c:pt idx="929">
                  <c:v>44.1</c:v>
                </c:pt>
                <c:pt idx="930">
                  <c:v>44.2</c:v>
                </c:pt>
                <c:pt idx="931">
                  <c:v>44.2</c:v>
                </c:pt>
                <c:pt idx="932">
                  <c:v>44.3</c:v>
                </c:pt>
                <c:pt idx="933">
                  <c:v>44.3</c:v>
                </c:pt>
                <c:pt idx="934">
                  <c:v>44.4</c:v>
                </c:pt>
                <c:pt idx="935">
                  <c:v>44.5</c:v>
                </c:pt>
                <c:pt idx="936">
                  <c:v>44.5</c:v>
                </c:pt>
                <c:pt idx="937">
                  <c:v>44.6</c:v>
                </c:pt>
                <c:pt idx="938">
                  <c:v>44.6</c:v>
                </c:pt>
                <c:pt idx="939">
                  <c:v>44.7</c:v>
                </c:pt>
                <c:pt idx="940">
                  <c:v>44.7</c:v>
                </c:pt>
                <c:pt idx="941">
                  <c:v>44.8</c:v>
                </c:pt>
                <c:pt idx="942">
                  <c:v>44.8</c:v>
                </c:pt>
                <c:pt idx="943">
                  <c:v>44.9</c:v>
                </c:pt>
                <c:pt idx="944">
                  <c:v>44.9</c:v>
                </c:pt>
                <c:pt idx="945">
                  <c:v>45</c:v>
                </c:pt>
                <c:pt idx="946">
                  <c:v>45.1</c:v>
                </c:pt>
                <c:pt idx="947">
                  <c:v>45.1</c:v>
                </c:pt>
                <c:pt idx="948">
                  <c:v>45.2</c:v>
                </c:pt>
                <c:pt idx="949">
                  <c:v>45.2</c:v>
                </c:pt>
                <c:pt idx="950">
                  <c:v>45.3</c:v>
                </c:pt>
                <c:pt idx="951">
                  <c:v>45.3</c:v>
                </c:pt>
                <c:pt idx="952">
                  <c:v>45.4</c:v>
                </c:pt>
                <c:pt idx="953">
                  <c:v>45.5</c:v>
                </c:pt>
                <c:pt idx="954">
                  <c:v>45.5</c:v>
                </c:pt>
                <c:pt idx="955">
                  <c:v>45.6</c:v>
                </c:pt>
                <c:pt idx="956">
                  <c:v>45.6</c:v>
                </c:pt>
                <c:pt idx="957">
                  <c:v>45.7</c:v>
                </c:pt>
                <c:pt idx="958">
                  <c:v>45.8</c:v>
                </c:pt>
                <c:pt idx="959">
                  <c:v>45.8</c:v>
                </c:pt>
                <c:pt idx="960">
                  <c:v>45.9</c:v>
                </c:pt>
                <c:pt idx="961">
                  <c:v>46</c:v>
                </c:pt>
                <c:pt idx="962">
                  <c:v>46</c:v>
                </c:pt>
                <c:pt idx="963">
                  <c:v>46.1</c:v>
                </c:pt>
                <c:pt idx="964">
                  <c:v>46.2</c:v>
                </c:pt>
                <c:pt idx="965">
                  <c:v>46.2</c:v>
                </c:pt>
                <c:pt idx="966">
                  <c:v>46.3</c:v>
                </c:pt>
                <c:pt idx="967">
                  <c:v>46.4</c:v>
                </c:pt>
                <c:pt idx="968">
                  <c:v>46.4</c:v>
                </c:pt>
                <c:pt idx="969">
                  <c:v>46.5</c:v>
                </c:pt>
                <c:pt idx="970">
                  <c:v>46.6</c:v>
                </c:pt>
                <c:pt idx="971">
                  <c:v>46.6</c:v>
                </c:pt>
                <c:pt idx="972">
                  <c:v>46.7</c:v>
                </c:pt>
                <c:pt idx="973">
                  <c:v>46.8</c:v>
                </c:pt>
                <c:pt idx="974">
                  <c:v>46.8</c:v>
                </c:pt>
                <c:pt idx="975">
                  <c:v>46.9</c:v>
                </c:pt>
                <c:pt idx="976">
                  <c:v>47</c:v>
                </c:pt>
                <c:pt idx="977">
                  <c:v>47</c:v>
                </c:pt>
                <c:pt idx="978">
                  <c:v>47.1</c:v>
                </c:pt>
                <c:pt idx="979">
                  <c:v>47.2</c:v>
                </c:pt>
                <c:pt idx="980">
                  <c:v>47.3</c:v>
                </c:pt>
                <c:pt idx="981">
                  <c:v>47.3</c:v>
                </c:pt>
                <c:pt idx="982">
                  <c:v>47.4</c:v>
                </c:pt>
                <c:pt idx="983">
                  <c:v>47.5</c:v>
                </c:pt>
                <c:pt idx="984">
                  <c:v>47.6</c:v>
                </c:pt>
                <c:pt idx="985">
                  <c:v>47.6</c:v>
                </c:pt>
                <c:pt idx="986">
                  <c:v>47.7</c:v>
                </c:pt>
                <c:pt idx="987">
                  <c:v>47.8</c:v>
                </c:pt>
                <c:pt idx="988">
                  <c:v>47.9</c:v>
                </c:pt>
                <c:pt idx="989">
                  <c:v>48</c:v>
                </c:pt>
                <c:pt idx="990">
                  <c:v>48</c:v>
                </c:pt>
                <c:pt idx="991">
                  <c:v>48.1</c:v>
                </c:pt>
                <c:pt idx="992">
                  <c:v>48.2</c:v>
                </c:pt>
                <c:pt idx="993">
                  <c:v>48.3</c:v>
                </c:pt>
                <c:pt idx="994">
                  <c:v>48.4</c:v>
                </c:pt>
                <c:pt idx="995">
                  <c:v>48.4</c:v>
                </c:pt>
                <c:pt idx="996">
                  <c:v>48.5</c:v>
                </c:pt>
                <c:pt idx="997">
                  <c:v>48.6</c:v>
                </c:pt>
                <c:pt idx="998">
                  <c:v>48.7</c:v>
                </c:pt>
                <c:pt idx="999">
                  <c:v>48.8</c:v>
                </c:pt>
                <c:pt idx="1000">
                  <c:v>48.9</c:v>
                </c:pt>
                <c:pt idx="1001">
                  <c:v>49</c:v>
                </c:pt>
                <c:pt idx="1002">
                  <c:v>49</c:v>
                </c:pt>
                <c:pt idx="1003">
                  <c:v>49.1</c:v>
                </c:pt>
                <c:pt idx="1004">
                  <c:v>49.2</c:v>
                </c:pt>
                <c:pt idx="1005">
                  <c:v>49.3</c:v>
                </c:pt>
                <c:pt idx="1006">
                  <c:v>49.4</c:v>
                </c:pt>
                <c:pt idx="1007">
                  <c:v>49.5</c:v>
                </c:pt>
                <c:pt idx="1008">
                  <c:v>49.6</c:v>
                </c:pt>
                <c:pt idx="1009">
                  <c:v>49.7</c:v>
                </c:pt>
                <c:pt idx="1010">
                  <c:v>49.8</c:v>
                </c:pt>
                <c:pt idx="1011">
                  <c:v>49.9</c:v>
                </c:pt>
                <c:pt idx="1012">
                  <c:v>50</c:v>
                </c:pt>
                <c:pt idx="1013">
                  <c:v>50.1</c:v>
                </c:pt>
                <c:pt idx="1014">
                  <c:v>50.1</c:v>
                </c:pt>
                <c:pt idx="1015">
                  <c:v>50.2</c:v>
                </c:pt>
                <c:pt idx="1016">
                  <c:v>50.3</c:v>
                </c:pt>
                <c:pt idx="1017">
                  <c:v>50.4</c:v>
                </c:pt>
                <c:pt idx="1018">
                  <c:v>50.5</c:v>
                </c:pt>
                <c:pt idx="1019">
                  <c:v>50.6</c:v>
                </c:pt>
                <c:pt idx="1020">
                  <c:v>50.7</c:v>
                </c:pt>
                <c:pt idx="1021">
                  <c:v>50.9</c:v>
                </c:pt>
                <c:pt idx="1022">
                  <c:v>51</c:v>
                </c:pt>
                <c:pt idx="1023">
                  <c:v>51.1</c:v>
                </c:pt>
                <c:pt idx="1024">
                  <c:v>51.2</c:v>
                </c:pt>
                <c:pt idx="1025">
                  <c:v>51.3</c:v>
                </c:pt>
                <c:pt idx="1026">
                  <c:v>51.4</c:v>
                </c:pt>
                <c:pt idx="1027">
                  <c:v>51.5</c:v>
                </c:pt>
                <c:pt idx="1028">
                  <c:v>51.6</c:v>
                </c:pt>
                <c:pt idx="1029">
                  <c:v>51.7</c:v>
                </c:pt>
                <c:pt idx="1030">
                  <c:v>51.8</c:v>
                </c:pt>
                <c:pt idx="1031">
                  <c:v>51.9</c:v>
                </c:pt>
                <c:pt idx="1032">
                  <c:v>52.1</c:v>
                </c:pt>
                <c:pt idx="1033">
                  <c:v>52.2</c:v>
                </c:pt>
                <c:pt idx="1034">
                  <c:v>52.3</c:v>
                </c:pt>
                <c:pt idx="1035">
                  <c:v>52.4</c:v>
                </c:pt>
                <c:pt idx="1036">
                  <c:v>52.5</c:v>
                </c:pt>
                <c:pt idx="1037">
                  <c:v>52.7</c:v>
                </c:pt>
                <c:pt idx="1038">
                  <c:v>52.8</c:v>
                </c:pt>
                <c:pt idx="1039">
                  <c:v>52.9</c:v>
                </c:pt>
                <c:pt idx="1040">
                  <c:v>53</c:v>
                </c:pt>
                <c:pt idx="1041">
                  <c:v>53.2</c:v>
                </c:pt>
                <c:pt idx="1042">
                  <c:v>53.3</c:v>
                </c:pt>
                <c:pt idx="1043">
                  <c:v>53.4</c:v>
                </c:pt>
                <c:pt idx="1044">
                  <c:v>53.6</c:v>
                </c:pt>
                <c:pt idx="1045">
                  <c:v>53.7</c:v>
                </c:pt>
                <c:pt idx="1046">
                  <c:v>53.8</c:v>
                </c:pt>
                <c:pt idx="1047">
                  <c:v>54</c:v>
                </c:pt>
                <c:pt idx="1048">
                  <c:v>54.1</c:v>
                </c:pt>
                <c:pt idx="1049">
                  <c:v>54.2</c:v>
                </c:pt>
                <c:pt idx="1050">
                  <c:v>54.4</c:v>
                </c:pt>
                <c:pt idx="1051">
                  <c:v>54.5</c:v>
                </c:pt>
                <c:pt idx="1052">
                  <c:v>54.7</c:v>
                </c:pt>
                <c:pt idx="1053">
                  <c:v>54.8</c:v>
                </c:pt>
                <c:pt idx="1054">
                  <c:v>55</c:v>
                </c:pt>
                <c:pt idx="1055">
                  <c:v>55.1</c:v>
                </c:pt>
                <c:pt idx="1056">
                  <c:v>55.3</c:v>
                </c:pt>
                <c:pt idx="1057">
                  <c:v>55.5</c:v>
                </c:pt>
                <c:pt idx="1058">
                  <c:v>55.6</c:v>
                </c:pt>
                <c:pt idx="1059">
                  <c:v>55.8</c:v>
                </c:pt>
                <c:pt idx="1060">
                  <c:v>56</c:v>
                </c:pt>
                <c:pt idx="1061">
                  <c:v>56.1</c:v>
                </c:pt>
                <c:pt idx="1062">
                  <c:v>56.3</c:v>
                </c:pt>
                <c:pt idx="1063">
                  <c:v>56.5</c:v>
                </c:pt>
                <c:pt idx="1064">
                  <c:v>56.7</c:v>
                </c:pt>
                <c:pt idx="1065">
                  <c:v>56.8</c:v>
                </c:pt>
                <c:pt idx="1066">
                  <c:v>57</c:v>
                </c:pt>
                <c:pt idx="1067">
                  <c:v>57.2</c:v>
                </c:pt>
                <c:pt idx="1068">
                  <c:v>57.4</c:v>
                </c:pt>
                <c:pt idx="1069">
                  <c:v>57.6</c:v>
                </c:pt>
                <c:pt idx="1070">
                  <c:v>57.8</c:v>
                </c:pt>
                <c:pt idx="1071">
                  <c:v>58</c:v>
                </c:pt>
                <c:pt idx="1072">
                  <c:v>58.2</c:v>
                </c:pt>
                <c:pt idx="1073">
                  <c:v>58.4</c:v>
                </c:pt>
                <c:pt idx="1074">
                  <c:v>58.6</c:v>
                </c:pt>
                <c:pt idx="1075">
                  <c:v>58.8</c:v>
                </c:pt>
                <c:pt idx="1076">
                  <c:v>59.1</c:v>
                </c:pt>
                <c:pt idx="1077">
                  <c:v>59.3</c:v>
                </c:pt>
                <c:pt idx="1078">
                  <c:v>59.5</c:v>
                </c:pt>
                <c:pt idx="1079">
                  <c:v>59.8</c:v>
                </c:pt>
                <c:pt idx="1080">
                  <c:v>60</c:v>
                </c:pt>
                <c:pt idx="1081">
                  <c:v>60.2</c:v>
                </c:pt>
                <c:pt idx="1082">
                  <c:v>60.5</c:v>
                </c:pt>
                <c:pt idx="1083">
                  <c:v>60.8</c:v>
                </c:pt>
                <c:pt idx="1084">
                  <c:v>61</c:v>
                </c:pt>
                <c:pt idx="1085">
                  <c:v>61.3</c:v>
                </c:pt>
                <c:pt idx="1086">
                  <c:v>61.6</c:v>
                </c:pt>
                <c:pt idx="1087">
                  <c:v>61.8</c:v>
                </c:pt>
                <c:pt idx="1088">
                  <c:v>62.1</c:v>
                </c:pt>
                <c:pt idx="1089">
                  <c:v>62.4</c:v>
                </c:pt>
                <c:pt idx="1090">
                  <c:v>62.7</c:v>
                </c:pt>
                <c:pt idx="1091">
                  <c:v>63.1</c:v>
                </c:pt>
                <c:pt idx="1092">
                  <c:v>63.4</c:v>
                </c:pt>
                <c:pt idx="1093">
                  <c:v>63.7</c:v>
                </c:pt>
                <c:pt idx="1094">
                  <c:v>64</c:v>
                </c:pt>
                <c:pt idx="1095">
                  <c:v>64.400000000000006</c:v>
                </c:pt>
                <c:pt idx="1096">
                  <c:v>64.8</c:v>
                </c:pt>
                <c:pt idx="1097">
                  <c:v>65.099999999999994</c:v>
                </c:pt>
                <c:pt idx="1098">
                  <c:v>65.5</c:v>
                </c:pt>
                <c:pt idx="1099">
                  <c:v>65.900000000000006</c:v>
                </c:pt>
                <c:pt idx="1100">
                  <c:v>66.3</c:v>
                </c:pt>
                <c:pt idx="1101">
                  <c:v>66.7</c:v>
                </c:pt>
                <c:pt idx="1102">
                  <c:v>67.099999999999994</c:v>
                </c:pt>
                <c:pt idx="1103">
                  <c:v>67.599999999999994</c:v>
                </c:pt>
                <c:pt idx="1104">
                  <c:v>68</c:v>
                </c:pt>
                <c:pt idx="1105">
                  <c:v>68.5</c:v>
                </c:pt>
                <c:pt idx="1106">
                  <c:v>69</c:v>
                </c:pt>
                <c:pt idx="1107">
                  <c:v>69.5</c:v>
                </c:pt>
                <c:pt idx="1108">
                  <c:v>70</c:v>
                </c:pt>
                <c:pt idx="1109">
                  <c:v>70.599999999999994</c:v>
                </c:pt>
                <c:pt idx="1110">
                  <c:v>71.099999999999994</c:v>
                </c:pt>
                <c:pt idx="1111">
                  <c:v>71.7</c:v>
                </c:pt>
                <c:pt idx="1112">
                  <c:v>72.3</c:v>
                </c:pt>
                <c:pt idx="1113">
                  <c:v>72.900000000000006</c:v>
                </c:pt>
                <c:pt idx="1114">
                  <c:v>73.599999999999994</c:v>
                </c:pt>
                <c:pt idx="1115">
                  <c:v>74.2</c:v>
                </c:pt>
                <c:pt idx="1116">
                  <c:v>74.900000000000006</c:v>
                </c:pt>
                <c:pt idx="1117">
                  <c:v>75.7</c:v>
                </c:pt>
                <c:pt idx="1118">
                  <c:v>76.400000000000006</c:v>
                </c:pt>
                <c:pt idx="1119">
                  <c:v>77.2</c:v>
                </c:pt>
                <c:pt idx="1120">
                  <c:v>78</c:v>
                </c:pt>
                <c:pt idx="1121">
                  <c:v>78.900000000000006</c:v>
                </c:pt>
                <c:pt idx="1122">
                  <c:v>79.8</c:v>
                </c:pt>
                <c:pt idx="1123">
                  <c:v>80.7</c:v>
                </c:pt>
                <c:pt idx="1124">
                  <c:v>81.7</c:v>
                </c:pt>
                <c:pt idx="1125">
                  <c:v>82.7</c:v>
                </c:pt>
                <c:pt idx="1126">
                  <c:v>83.8</c:v>
                </c:pt>
                <c:pt idx="1127">
                  <c:v>84.9</c:v>
                </c:pt>
                <c:pt idx="1128">
                  <c:v>86.1</c:v>
                </c:pt>
                <c:pt idx="1129">
                  <c:v>87.3</c:v>
                </c:pt>
                <c:pt idx="1130">
                  <c:v>88.6</c:v>
                </c:pt>
                <c:pt idx="1131">
                  <c:v>90</c:v>
                </c:pt>
                <c:pt idx="1132">
                  <c:v>91.5</c:v>
                </c:pt>
                <c:pt idx="1133">
                  <c:v>93</c:v>
                </c:pt>
                <c:pt idx="1134">
                  <c:v>94.6</c:v>
                </c:pt>
                <c:pt idx="1135">
                  <c:v>96.3</c:v>
                </c:pt>
                <c:pt idx="1136">
                  <c:v>98</c:v>
                </c:pt>
                <c:pt idx="1137">
                  <c:v>99.9</c:v>
                </c:pt>
                <c:pt idx="1138">
                  <c:v>101.9</c:v>
                </c:pt>
                <c:pt idx="1139">
                  <c:v>104</c:v>
                </c:pt>
                <c:pt idx="1140">
                  <c:v>106.3</c:v>
                </c:pt>
                <c:pt idx="1141">
                  <c:v>108.7</c:v>
                </c:pt>
                <c:pt idx="1142">
                  <c:v>111.2</c:v>
                </c:pt>
                <c:pt idx="1143">
                  <c:v>113.8</c:v>
                </c:pt>
                <c:pt idx="1144">
                  <c:v>116.7</c:v>
                </c:pt>
                <c:pt idx="1145">
                  <c:v>119.7</c:v>
                </c:pt>
                <c:pt idx="1146">
                  <c:v>122.9</c:v>
                </c:pt>
                <c:pt idx="1147">
                  <c:v>126.4</c:v>
                </c:pt>
                <c:pt idx="1148">
                  <c:v>130</c:v>
                </c:pt>
                <c:pt idx="1149">
                  <c:v>133.9</c:v>
                </c:pt>
                <c:pt idx="1150">
                  <c:v>138.1</c:v>
                </c:pt>
                <c:pt idx="1151">
                  <c:v>142.5</c:v>
                </c:pt>
                <c:pt idx="1152">
                  <c:v>147.19999999999999</c:v>
                </c:pt>
                <c:pt idx="1153">
                  <c:v>152.19999999999999</c:v>
                </c:pt>
                <c:pt idx="1154">
                  <c:v>157.6</c:v>
                </c:pt>
                <c:pt idx="1155">
                  <c:v>163.19999999999999</c:v>
                </c:pt>
                <c:pt idx="1156">
                  <c:v>169.2</c:v>
                </c:pt>
                <c:pt idx="1157">
                  <c:v>175.6</c:v>
                </c:pt>
                <c:pt idx="1158">
                  <c:v>182.3</c:v>
                </c:pt>
                <c:pt idx="1159">
                  <c:v>189.3</c:v>
                </c:pt>
                <c:pt idx="1160">
                  <c:v>196.6</c:v>
                </c:pt>
                <c:pt idx="1161">
                  <c:v>204.2</c:v>
                </c:pt>
                <c:pt idx="1162">
                  <c:v>212</c:v>
                </c:pt>
                <c:pt idx="1163">
                  <c:v>219.9</c:v>
                </c:pt>
                <c:pt idx="1164">
                  <c:v>227.8</c:v>
                </c:pt>
                <c:pt idx="1165">
                  <c:v>235.6</c:v>
                </c:pt>
                <c:pt idx="1166">
                  <c:v>243.1</c:v>
                </c:pt>
                <c:pt idx="1167">
                  <c:v>250.1</c:v>
                </c:pt>
                <c:pt idx="1168">
                  <c:v>256.60000000000002</c:v>
                </c:pt>
                <c:pt idx="1169">
                  <c:v>262.2</c:v>
                </c:pt>
                <c:pt idx="1170">
                  <c:v>266.8</c:v>
                </c:pt>
                <c:pt idx="1171">
                  <c:v>270.5</c:v>
                </c:pt>
                <c:pt idx="1172">
                  <c:v>273.10000000000002</c:v>
                </c:pt>
                <c:pt idx="1173">
                  <c:v>275</c:v>
                </c:pt>
                <c:pt idx="1174">
                  <c:v>276.10000000000002</c:v>
                </c:pt>
                <c:pt idx="1175">
                  <c:v>276.8</c:v>
                </c:pt>
                <c:pt idx="1176">
                  <c:v>277.2</c:v>
                </c:pt>
                <c:pt idx="1177">
                  <c:v>277.39999999999998</c:v>
                </c:pt>
                <c:pt idx="1178">
                  <c:v>277.39999999999998</c:v>
                </c:pt>
                <c:pt idx="1179">
                  <c:v>277.2</c:v>
                </c:pt>
                <c:pt idx="1180">
                  <c:v>276.8</c:v>
                </c:pt>
                <c:pt idx="1181">
                  <c:v>276.2</c:v>
                </c:pt>
                <c:pt idx="1182">
                  <c:v>275</c:v>
                </c:pt>
                <c:pt idx="1183">
                  <c:v>273.2</c:v>
                </c:pt>
                <c:pt idx="1184">
                  <c:v>270.60000000000002</c:v>
                </c:pt>
                <c:pt idx="1185">
                  <c:v>267</c:v>
                </c:pt>
                <c:pt idx="1186">
                  <c:v>262.39999999999998</c:v>
                </c:pt>
                <c:pt idx="1187">
                  <c:v>257</c:v>
                </c:pt>
                <c:pt idx="1188">
                  <c:v>250.7</c:v>
                </c:pt>
                <c:pt idx="1189">
                  <c:v>243.8</c:v>
                </c:pt>
                <c:pt idx="1190">
                  <c:v>236.4</c:v>
                </c:pt>
              </c:numCache>
            </c:numRef>
          </c:yVal>
          <c:smooth val="1"/>
          <c:extLst>
            <c:ext xmlns:c16="http://schemas.microsoft.com/office/drawing/2014/chart" uri="{C3380CC4-5D6E-409C-BE32-E72D297353CC}">
              <c16:uniqueId val="{00000002-7C85-45CF-A381-2F467200C6B2}"/>
            </c:ext>
          </c:extLst>
        </c:ser>
        <c:dLbls>
          <c:showLegendKey val="0"/>
          <c:showVal val="0"/>
          <c:showCatName val="0"/>
          <c:showSerName val="0"/>
          <c:showPercent val="0"/>
          <c:showBubbleSize val="0"/>
        </c:dLbls>
        <c:axId val="-2112370216"/>
        <c:axId val="-2107469800"/>
        <c:extLst/>
      </c:scatterChart>
      <c:valAx>
        <c:axId val="-2112370216"/>
        <c:scaling>
          <c:orientation val="minMax"/>
          <c:max val="120"/>
          <c:min val="0"/>
        </c:scaling>
        <c:delete val="0"/>
        <c:axPos val="b"/>
        <c:majorGridlines/>
        <c:title>
          <c:tx>
            <c:rich>
              <a:bodyPr/>
              <a:lstStyle/>
              <a:p>
                <a:pPr>
                  <a:defRPr sz="1600"/>
                </a:pPr>
                <a:r>
                  <a:rPr lang="en-US" sz="1600"/>
                  <a:t>Frequency, GHz</a:t>
                </a:r>
              </a:p>
            </c:rich>
          </c:tx>
          <c:layout>
            <c:manualLayout>
              <c:xMode val="edge"/>
              <c:yMode val="edge"/>
              <c:x val="0.39077235954218953"/>
              <c:y val="0.93295817135734793"/>
            </c:manualLayout>
          </c:layout>
          <c:overlay val="0"/>
        </c:title>
        <c:numFmt formatCode="0" sourceLinked="0"/>
        <c:majorTickMark val="out"/>
        <c:minorTickMark val="in"/>
        <c:tickLblPos val="nextTo"/>
        <c:spPr>
          <a:ln/>
        </c:spPr>
        <c:txPr>
          <a:bodyPr/>
          <a:lstStyle/>
          <a:p>
            <a:pPr>
              <a:defRPr sz="1400" b="1" i="0" baseline="0"/>
            </a:pPr>
            <a:endParaRPr lang="en-US"/>
          </a:p>
        </c:txPr>
        <c:crossAx val="-2107469800"/>
        <c:crosses val="autoZero"/>
        <c:crossBetween val="midCat"/>
        <c:majorUnit val="10"/>
        <c:minorUnit val="5"/>
      </c:valAx>
      <c:valAx>
        <c:axId val="-2107469800"/>
        <c:scaling>
          <c:orientation val="minMax"/>
          <c:max val="300"/>
        </c:scaling>
        <c:delete val="0"/>
        <c:axPos val="l"/>
        <c:majorGridlines/>
        <c:numFmt formatCode="General" sourceLinked="1"/>
        <c:majorTickMark val="out"/>
        <c:minorTickMark val="none"/>
        <c:tickLblPos val="nextTo"/>
        <c:txPr>
          <a:bodyPr/>
          <a:lstStyle/>
          <a:p>
            <a:pPr>
              <a:defRPr sz="1400" b="1" i="0" baseline="0"/>
            </a:pPr>
            <a:endParaRPr lang="en-US"/>
          </a:p>
        </c:txPr>
        <c:crossAx val="-2112370216"/>
        <c:crosses val="autoZero"/>
        <c:crossBetween val="midCat"/>
      </c:valAx>
    </c:plotArea>
    <c:legend>
      <c:legendPos val="r"/>
      <c:layout>
        <c:manualLayout>
          <c:xMode val="edge"/>
          <c:yMode val="edge"/>
          <c:x val="0.10570285052002901"/>
          <c:y val="9.9711319731752998E-2"/>
          <c:w val="0.12725901890616076"/>
          <c:h val="0.19547097012777054"/>
        </c:manualLayout>
      </c:layout>
      <c:overlay val="0"/>
      <c:spPr>
        <a:solidFill>
          <a:schemeClr val="bg1"/>
        </a:solidFill>
      </c:spPr>
      <c:txPr>
        <a:bodyPr/>
        <a:lstStyle/>
        <a:p>
          <a:pPr>
            <a:defRPr sz="1400" b="1" i="0"/>
          </a:pPr>
          <a:endParaRPr lang="en-US"/>
        </a:p>
      </c:txPr>
    </c:legend>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Tatm for VLA Site, 30 deg. Elevation</a:t>
            </a:r>
          </a:p>
        </c:rich>
      </c:tx>
      <c:layout>
        <c:manualLayout>
          <c:xMode val="edge"/>
          <c:yMode val="edge"/>
          <c:x val="0.29683616530984264"/>
          <c:y val="0"/>
        </c:manualLayout>
      </c:layout>
      <c:overlay val="0"/>
    </c:title>
    <c:autoTitleDeleted val="0"/>
    <c:plotArea>
      <c:layout>
        <c:manualLayout>
          <c:layoutTarget val="inner"/>
          <c:xMode val="edge"/>
          <c:yMode val="edge"/>
          <c:x val="6.9044735917186781E-2"/>
          <c:y val="7.4002748014091985E-2"/>
          <c:w val="0.88555754464972514"/>
          <c:h val="0.78411882452331705"/>
        </c:manualLayout>
      </c:layout>
      <c:scatterChart>
        <c:scatterStyle val="smoothMarker"/>
        <c:varyColors val="0"/>
        <c:ser>
          <c:idx val="3"/>
          <c:order val="0"/>
          <c:tx>
            <c:strRef>
              <c:f>Tatm!$K$5</c:f>
              <c:strCache>
                <c:ptCount val="1"/>
                <c:pt idx="0">
                  <c:v>1</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Tatm!$K$6:$K$1196</c:f>
              <c:numCache>
                <c:formatCode>General</c:formatCode>
                <c:ptCount val="1191"/>
                <c:pt idx="0">
                  <c:v>5.0999999999999996</c:v>
                </c:pt>
                <c:pt idx="1">
                  <c:v>5.0999999999999996</c:v>
                </c:pt>
                <c:pt idx="2">
                  <c:v>5.0999999999999996</c:v>
                </c:pt>
                <c:pt idx="3">
                  <c:v>5.2</c:v>
                </c:pt>
                <c:pt idx="4">
                  <c:v>5.2</c:v>
                </c:pt>
                <c:pt idx="5">
                  <c:v>5.2</c:v>
                </c:pt>
                <c:pt idx="6">
                  <c:v>5.2</c:v>
                </c:pt>
                <c:pt idx="7">
                  <c:v>5.2</c:v>
                </c:pt>
                <c:pt idx="8">
                  <c:v>5.2</c:v>
                </c:pt>
                <c:pt idx="9">
                  <c:v>5.3</c:v>
                </c:pt>
                <c:pt idx="10">
                  <c:v>5.3</c:v>
                </c:pt>
                <c:pt idx="11">
                  <c:v>5.3</c:v>
                </c:pt>
                <c:pt idx="12">
                  <c:v>5.3</c:v>
                </c:pt>
                <c:pt idx="13">
                  <c:v>5.3</c:v>
                </c:pt>
                <c:pt idx="14">
                  <c:v>5.3</c:v>
                </c:pt>
                <c:pt idx="15">
                  <c:v>5.3</c:v>
                </c:pt>
                <c:pt idx="16">
                  <c:v>5.3</c:v>
                </c:pt>
                <c:pt idx="17">
                  <c:v>5.3</c:v>
                </c:pt>
                <c:pt idx="18">
                  <c:v>5.3</c:v>
                </c:pt>
                <c:pt idx="19">
                  <c:v>5.3</c:v>
                </c:pt>
                <c:pt idx="20">
                  <c:v>5.3</c:v>
                </c:pt>
                <c:pt idx="21">
                  <c:v>5.3</c:v>
                </c:pt>
                <c:pt idx="22">
                  <c:v>5.3</c:v>
                </c:pt>
                <c:pt idx="23">
                  <c:v>5.3</c:v>
                </c:pt>
                <c:pt idx="24">
                  <c:v>5.3</c:v>
                </c:pt>
                <c:pt idx="25">
                  <c:v>5.3</c:v>
                </c:pt>
                <c:pt idx="26">
                  <c:v>5.4</c:v>
                </c:pt>
                <c:pt idx="27">
                  <c:v>5.4</c:v>
                </c:pt>
                <c:pt idx="28">
                  <c:v>5.4</c:v>
                </c:pt>
                <c:pt idx="29">
                  <c:v>5.4</c:v>
                </c:pt>
                <c:pt idx="30">
                  <c:v>5.4</c:v>
                </c:pt>
                <c:pt idx="31">
                  <c:v>5.4</c:v>
                </c:pt>
                <c:pt idx="32">
                  <c:v>5.4</c:v>
                </c:pt>
                <c:pt idx="33">
                  <c:v>5.4</c:v>
                </c:pt>
                <c:pt idx="34">
                  <c:v>5.4</c:v>
                </c:pt>
                <c:pt idx="35">
                  <c:v>5.4</c:v>
                </c:pt>
                <c:pt idx="36">
                  <c:v>5.4</c:v>
                </c:pt>
                <c:pt idx="37">
                  <c:v>5.4</c:v>
                </c:pt>
                <c:pt idx="38">
                  <c:v>5.4</c:v>
                </c:pt>
                <c:pt idx="39">
                  <c:v>5.4</c:v>
                </c:pt>
                <c:pt idx="40">
                  <c:v>5.4</c:v>
                </c:pt>
                <c:pt idx="41">
                  <c:v>5.4</c:v>
                </c:pt>
                <c:pt idx="42">
                  <c:v>5.4</c:v>
                </c:pt>
                <c:pt idx="43">
                  <c:v>5.4</c:v>
                </c:pt>
                <c:pt idx="44">
                  <c:v>5.4</c:v>
                </c:pt>
                <c:pt idx="45">
                  <c:v>5.4</c:v>
                </c:pt>
                <c:pt idx="46">
                  <c:v>5.4</c:v>
                </c:pt>
                <c:pt idx="47">
                  <c:v>5.4</c:v>
                </c:pt>
                <c:pt idx="48">
                  <c:v>5.4</c:v>
                </c:pt>
                <c:pt idx="49">
                  <c:v>5.4</c:v>
                </c:pt>
                <c:pt idx="50">
                  <c:v>5.4</c:v>
                </c:pt>
                <c:pt idx="51">
                  <c:v>5.5</c:v>
                </c:pt>
                <c:pt idx="52">
                  <c:v>5.5</c:v>
                </c:pt>
                <c:pt idx="53">
                  <c:v>5.5</c:v>
                </c:pt>
                <c:pt idx="54">
                  <c:v>5.5</c:v>
                </c:pt>
                <c:pt idx="55">
                  <c:v>5.5</c:v>
                </c:pt>
                <c:pt idx="56">
                  <c:v>5.5</c:v>
                </c:pt>
                <c:pt idx="57">
                  <c:v>5.5</c:v>
                </c:pt>
                <c:pt idx="58">
                  <c:v>5.5</c:v>
                </c:pt>
                <c:pt idx="59">
                  <c:v>5.5</c:v>
                </c:pt>
                <c:pt idx="60">
                  <c:v>5.5</c:v>
                </c:pt>
                <c:pt idx="61">
                  <c:v>5.5</c:v>
                </c:pt>
                <c:pt idx="62">
                  <c:v>5.5</c:v>
                </c:pt>
                <c:pt idx="63">
                  <c:v>5.5</c:v>
                </c:pt>
                <c:pt idx="64">
                  <c:v>5.5</c:v>
                </c:pt>
                <c:pt idx="65">
                  <c:v>5.5</c:v>
                </c:pt>
                <c:pt idx="66">
                  <c:v>5.5</c:v>
                </c:pt>
                <c:pt idx="67">
                  <c:v>5.5</c:v>
                </c:pt>
                <c:pt idx="68">
                  <c:v>5.5</c:v>
                </c:pt>
                <c:pt idx="69">
                  <c:v>5.5</c:v>
                </c:pt>
                <c:pt idx="70">
                  <c:v>5.6</c:v>
                </c:pt>
                <c:pt idx="71">
                  <c:v>5.6</c:v>
                </c:pt>
                <c:pt idx="72">
                  <c:v>5.6</c:v>
                </c:pt>
                <c:pt idx="73">
                  <c:v>5.6</c:v>
                </c:pt>
                <c:pt idx="74">
                  <c:v>5.6</c:v>
                </c:pt>
                <c:pt idx="75">
                  <c:v>5.6</c:v>
                </c:pt>
                <c:pt idx="76">
                  <c:v>5.6</c:v>
                </c:pt>
                <c:pt idx="77">
                  <c:v>5.6</c:v>
                </c:pt>
                <c:pt idx="78">
                  <c:v>5.6</c:v>
                </c:pt>
                <c:pt idx="79">
                  <c:v>5.6</c:v>
                </c:pt>
                <c:pt idx="80">
                  <c:v>5.6</c:v>
                </c:pt>
                <c:pt idx="81">
                  <c:v>5.6</c:v>
                </c:pt>
                <c:pt idx="82">
                  <c:v>5.6</c:v>
                </c:pt>
                <c:pt idx="83">
                  <c:v>5.6</c:v>
                </c:pt>
                <c:pt idx="84">
                  <c:v>5.6</c:v>
                </c:pt>
                <c:pt idx="85">
                  <c:v>5.7</c:v>
                </c:pt>
                <c:pt idx="86">
                  <c:v>5.7</c:v>
                </c:pt>
                <c:pt idx="87">
                  <c:v>5.7</c:v>
                </c:pt>
                <c:pt idx="88">
                  <c:v>5.7</c:v>
                </c:pt>
                <c:pt idx="89">
                  <c:v>5.7</c:v>
                </c:pt>
                <c:pt idx="90">
                  <c:v>5.7</c:v>
                </c:pt>
                <c:pt idx="91">
                  <c:v>5.7</c:v>
                </c:pt>
                <c:pt idx="92">
                  <c:v>5.7</c:v>
                </c:pt>
                <c:pt idx="93">
                  <c:v>5.7</c:v>
                </c:pt>
                <c:pt idx="94">
                  <c:v>5.7</c:v>
                </c:pt>
                <c:pt idx="95">
                  <c:v>5.7</c:v>
                </c:pt>
                <c:pt idx="96">
                  <c:v>5.7</c:v>
                </c:pt>
                <c:pt idx="97">
                  <c:v>5.8</c:v>
                </c:pt>
                <c:pt idx="98">
                  <c:v>5.8</c:v>
                </c:pt>
                <c:pt idx="99">
                  <c:v>5.8</c:v>
                </c:pt>
                <c:pt idx="100">
                  <c:v>5.8</c:v>
                </c:pt>
                <c:pt idx="101">
                  <c:v>5.8</c:v>
                </c:pt>
                <c:pt idx="102">
                  <c:v>5.8</c:v>
                </c:pt>
                <c:pt idx="103">
                  <c:v>5.8</c:v>
                </c:pt>
                <c:pt idx="104">
                  <c:v>5.8</c:v>
                </c:pt>
                <c:pt idx="105">
                  <c:v>5.8</c:v>
                </c:pt>
                <c:pt idx="106">
                  <c:v>5.8</c:v>
                </c:pt>
                <c:pt idx="107">
                  <c:v>5.8</c:v>
                </c:pt>
                <c:pt idx="108">
                  <c:v>5.9</c:v>
                </c:pt>
                <c:pt idx="109">
                  <c:v>5.9</c:v>
                </c:pt>
                <c:pt idx="110">
                  <c:v>5.9</c:v>
                </c:pt>
                <c:pt idx="111">
                  <c:v>5.9</c:v>
                </c:pt>
                <c:pt idx="112">
                  <c:v>5.9</c:v>
                </c:pt>
                <c:pt idx="113">
                  <c:v>5.9</c:v>
                </c:pt>
                <c:pt idx="114">
                  <c:v>5.9</c:v>
                </c:pt>
                <c:pt idx="115">
                  <c:v>5.9</c:v>
                </c:pt>
                <c:pt idx="116">
                  <c:v>5.9</c:v>
                </c:pt>
                <c:pt idx="117">
                  <c:v>6</c:v>
                </c:pt>
                <c:pt idx="118">
                  <c:v>6</c:v>
                </c:pt>
                <c:pt idx="119">
                  <c:v>6</c:v>
                </c:pt>
                <c:pt idx="120">
                  <c:v>6</c:v>
                </c:pt>
                <c:pt idx="121">
                  <c:v>6</c:v>
                </c:pt>
                <c:pt idx="122">
                  <c:v>6</c:v>
                </c:pt>
                <c:pt idx="123">
                  <c:v>6</c:v>
                </c:pt>
                <c:pt idx="124">
                  <c:v>6</c:v>
                </c:pt>
                <c:pt idx="125">
                  <c:v>6.1</c:v>
                </c:pt>
                <c:pt idx="126">
                  <c:v>6.1</c:v>
                </c:pt>
                <c:pt idx="127">
                  <c:v>6.1</c:v>
                </c:pt>
                <c:pt idx="128">
                  <c:v>6.1</c:v>
                </c:pt>
                <c:pt idx="129">
                  <c:v>6.1</c:v>
                </c:pt>
                <c:pt idx="130">
                  <c:v>6.1</c:v>
                </c:pt>
                <c:pt idx="131">
                  <c:v>6.1</c:v>
                </c:pt>
                <c:pt idx="132">
                  <c:v>6.1</c:v>
                </c:pt>
                <c:pt idx="133">
                  <c:v>6.2</c:v>
                </c:pt>
                <c:pt idx="134">
                  <c:v>6.2</c:v>
                </c:pt>
                <c:pt idx="135">
                  <c:v>6.2</c:v>
                </c:pt>
                <c:pt idx="136">
                  <c:v>6.2</c:v>
                </c:pt>
                <c:pt idx="137">
                  <c:v>6.2</c:v>
                </c:pt>
                <c:pt idx="138">
                  <c:v>6.2</c:v>
                </c:pt>
                <c:pt idx="139">
                  <c:v>6.3</c:v>
                </c:pt>
                <c:pt idx="140">
                  <c:v>6.3</c:v>
                </c:pt>
                <c:pt idx="141">
                  <c:v>6.3</c:v>
                </c:pt>
                <c:pt idx="142">
                  <c:v>6.3</c:v>
                </c:pt>
                <c:pt idx="143">
                  <c:v>6.3</c:v>
                </c:pt>
                <c:pt idx="144">
                  <c:v>6.3</c:v>
                </c:pt>
                <c:pt idx="145">
                  <c:v>6.4</c:v>
                </c:pt>
                <c:pt idx="146">
                  <c:v>6.4</c:v>
                </c:pt>
                <c:pt idx="147">
                  <c:v>6.4</c:v>
                </c:pt>
                <c:pt idx="148">
                  <c:v>6.4</c:v>
                </c:pt>
                <c:pt idx="149">
                  <c:v>6.4</c:v>
                </c:pt>
                <c:pt idx="150">
                  <c:v>6.5</c:v>
                </c:pt>
                <c:pt idx="151">
                  <c:v>6.5</c:v>
                </c:pt>
                <c:pt idx="152">
                  <c:v>6.5</c:v>
                </c:pt>
                <c:pt idx="153">
                  <c:v>6.5</c:v>
                </c:pt>
                <c:pt idx="154">
                  <c:v>6.5</c:v>
                </c:pt>
                <c:pt idx="155">
                  <c:v>6.6</c:v>
                </c:pt>
                <c:pt idx="156">
                  <c:v>6.6</c:v>
                </c:pt>
                <c:pt idx="157">
                  <c:v>6.6</c:v>
                </c:pt>
                <c:pt idx="158">
                  <c:v>6.6</c:v>
                </c:pt>
                <c:pt idx="159">
                  <c:v>6.7</c:v>
                </c:pt>
                <c:pt idx="160">
                  <c:v>6.7</c:v>
                </c:pt>
                <c:pt idx="161">
                  <c:v>6.7</c:v>
                </c:pt>
                <c:pt idx="162">
                  <c:v>6.7</c:v>
                </c:pt>
                <c:pt idx="163">
                  <c:v>6.8</c:v>
                </c:pt>
                <c:pt idx="164">
                  <c:v>6.8</c:v>
                </c:pt>
                <c:pt idx="165">
                  <c:v>6.8</c:v>
                </c:pt>
                <c:pt idx="166">
                  <c:v>6.9</c:v>
                </c:pt>
                <c:pt idx="167">
                  <c:v>6.9</c:v>
                </c:pt>
                <c:pt idx="168">
                  <c:v>6.9</c:v>
                </c:pt>
                <c:pt idx="169">
                  <c:v>7</c:v>
                </c:pt>
                <c:pt idx="170">
                  <c:v>7</c:v>
                </c:pt>
                <c:pt idx="171">
                  <c:v>7</c:v>
                </c:pt>
                <c:pt idx="172">
                  <c:v>7.1</c:v>
                </c:pt>
                <c:pt idx="173">
                  <c:v>7.1</c:v>
                </c:pt>
                <c:pt idx="174">
                  <c:v>7.2</c:v>
                </c:pt>
                <c:pt idx="175">
                  <c:v>7.2</c:v>
                </c:pt>
                <c:pt idx="176">
                  <c:v>7.3</c:v>
                </c:pt>
                <c:pt idx="177">
                  <c:v>7.3</c:v>
                </c:pt>
                <c:pt idx="178">
                  <c:v>7.4</c:v>
                </c:pt>
                <c:pt idx="179">
                  <c:v>7.4</c:v>
                </c:pt>
                <c:pt idx="180">
                  <c:v>7.5</c:v>
                </c:pt>
                <c:pt idx="181">
                  <c:v>7.5</c:v>
                </c:pt>
                <c:pt idx="182">
                  <c:v>7.6</c:v>
                </c:pt>
                <c:pt idx="183">
                  <c:v>7.6</c:v>
                </c:pt>
                <c:pt idx="184">
                  <c:v>7.7</c:v>
                </c:pt>
                <c:pt idx="185">
                  <c:v>7.8</c:v>
                </c:pt>
                <c:pt idx="186">
                  <c:v>7.9</c:v>
                </c:pt>
                <c:pt idx="187">
                  <c:v>7.9</c:v>
                </c:pt>
                <c:pt idx="188">
                  <c:v>8</c:v>
                </c:pt>
                <c:pt idx="189">
                  <c:v>8.1</c:v>
                </c:pt>
                <c:pt idx="190">
                  <c:v>8.1999999999999993</c:v>
                </c:pt>
                <c:pt idx="191">
                  <c:v>8.3000000000000007</c:v>
                </c:pt>
                <c:pt idx="192">
                  <c:v>8.4</c:v>
                </c:pt>
                <c:pt idx="193">
                  <c:v>8.5</c:v>
                </c:pt>
                <c:pt idx="194">
                  <c:v>8.6</c:v>
                </c:pt>
                <c:pt idx="195">
                  <c:v>8.8000000000000007</c:v>
                </c:pt>
                <c:pt idx="196">
                  <c:v>8.9</c:v>
                </c:pt>
                <c:pt idx="197">
                  <c:v>9</c:v>
                </c:pt>
                <c:pt idx="198">
                  <c:v>9.1999999999999993</c:v>
                </c:pt>
                <c:pt idx="199">
                  <c:v>9.3000000000000007</c:v>
                </c:pt>
                <c:pt idx="200">
                  <c:v>9.5</c:v>
                </c:pt>
                <c:pt idx="201">
                  <c:v>9.6</c:v>
                </c:pt>
                <c:pt idx="202">
                  <c:v>9.8000000000000007</c:v>
                </c:pt>
                <c:pt idx="203">
                  <c:v>9.9</c:v>
                </c:pt>
                <c:pt idx="204">
                  <c:v>10.1</c:v>
                </c:pt>
                <c:pt idx="205">
                  <c:v>10.3</c:v>
                </c:pt>
                <c:pt idx="206">
                  <c:v>10.4</c:v>
                </c:pt>
                <c:pt idx="207">
                  <c:v>10.6</c:v>
                </c:pt>
                <c:pt idx="208">
                  <c:v>10.7</c:v>
                </c:pt>
                <c:pt idx="209">
                  <c:v>10.9</c:v>
                </c:pt>
                <c:pt idx="210">
                  <c:v>11</c:v>
                </c:pt>
                <c:pt idx="211">
                  <c:v>11.1</c:v>
                </c:pt>
                <c:pt idx="212">
                  <c:v>11.2</c:v>
                </c:pt>
                <c:pt idx="213">
                  <c:v>11.2</c:v>
                </c:pt>
                <c:pt idx="214">
                  <c:v>11.2</c:v>
                </c:pt>
                <c:pt idx="215">
                  <c:v>11.2</c:v>
                </c:pt>
                <c:pt idx="216">
                  <c:v>11.2</c:v>
                </c:pt>
                <c:pt idx="217">
                  <c:v>11.2</c:v>
                </c:pt>
                <c:pt idx="218">
                  <c:v>11.1</c:v>
                </c:pt>
                <c:pt idx="219">
                  <c:v>11.1</c:v>
                </c:pt>
                <c:pt idx="220">
                  <c:v>11</c:v>
                </c:pt>
                <c:pt idx="221">
                  <c:v>10.9</c:v>
                </c:pt>
                <c:pt idx="222">
                  <c:v>10.8</c:v>
                </c:pt>
                <c:pt idx="223">
                  <c:v>10.8</c:v>
                </c:pt>
                <c:pt idx="224">
                  <c:v>10.7</c:v>
                </c:pt>
                <c:pt idx="225">
                  <c:v>10.6</c:v>
                </c:pt>
                <c:pt idx="226">
                  <c:v>10.5</c:v>
                </c:pt>
                <c:pt idx="227">
                  <c:v>10.4</c:v>
                </c:pt>
                <c:pt idx="228">
                  <c:v>10.3</c:v>
                </c:pt>
                <c:pt idx="229">
                  <c:v>10.3</c:v>
                </c:pt>
                <c:pt idx="230">
                  <c:v>10.199999999999999</c:v>
                </c:pt>
                <c:pt idx="231">
                  <c:v>10.1</c:v>
                </c:pt>
                <c:pt idx="232">
                  <c:v>10</c:v>
                </c:pt>
                <c:pt idx="233">
                  <c:v>10</c:v>
                </c:pt>
                <c:pt idx="234">
                  <c:v>9.9</c:v>
                </c:pt>
                <c:pt idx="235">
                  <c:v>9.9</c:v>
                </c:pt>
                <c:pt idx="236">
                  <c:v>9.8000000000000007</c:v>
                </c:pt>
                <c:pt idx="237">
                  <c:v>9.8000000000000007</c:v>
                </c:pt>
                <c:pt idx="238">
                  <c:v>9.6999999999999993</c:v>
                </c:pt>
                <c:pt idx="239">
                  <c:v>9.6999999999999993</c:v>
                </c:pt>
                <c:pt idx="240">
                  <c:v>9.6999999999999993</c:v>
                </c:pt>
                <c:pt idx="241">
                  <c:v>9.6</c:v>
                </c:pt>
                <c:pt idx="242">
                  <c:v>9.6</c:v>
                </c:pt>
                <c:pt idx="243">
                  <c:v>9.6</c:v>
                </c:pt>
                <c:pt idx="244">
                  <c:v>9.6</c:v>
                </c:pt>
                <c:pt idx="245">
                  <c:v>9.6</c:v>
                </c:pt>
                <c:pt idx="246">
                  <c:v>9.6</c:v>
                </c:pt>
                <c:pt idx="247">
                  <c:v>9.5</c:v>
                </c:pt>
                <c:pt idx="248">
                  <c:v>9.5</c:v>
                </c:pt>
                <c:pt idx="249">
                  <c:v>9.5</c:v>
                </c:pt>
                <c:pt idx="250">
                  <c:v>9.5</c:v>
                </c:pt>
                <c:pt idx="251">
                  <c:v>9.5</c:v>
                </c:pt>
                <c:pt idx="252">
                  <c:v>9.5</c:v>
                </c:pt>
                <c:pt idx="253">
                  <c:v>9.5</c:v>
                </c:pt>
                <c:pt idx="254">
                  <c:v>9.5</c:v>
                </c:pt>
                <c:pt idx="255">
                  <c:v>9.5</c:v>
                </c:pt>
                <c:pt idx="256">
                  <c:v>9.6</c:v>
                </c:pt>
                <c:pt idx="257">
                  <c:v>9.6</c:v>
                </c:pt>
                <c:pt idx="258">
                  <c:v>9.6</c:v>
                </c:pt>
                <c:pt idx="259">
                  <c:v>9.6</c:v>
                </c:pt>
                <c:pt idx="260">
                  <c:v>9.6</c:v>
                </c:pt>
                <c:pt idx="261">
                  <c:v>9.6</c:v>
                </c:pt>
                <c:pt idx="262">
                  <c:v>9.6</c:v>
                </c:pt>
                <c:pt idx="263">
                  <c:v>9.6999999999999993</c:v>
                </c:pt>
                <c:pt idx="264">
                  <c:v>9.6999999999999993</c:v>
                </c:pt>
                <c:pt idx="265">
                  <c:v>9.6999999999999993</c:v>
                </c:pt>
                <c:pt idx="266">
                  <c:v>9.6999999999999993</c:v>
                </c:pt>
                <c:pt idx="267">
                  <c:v>9.6999999999999993</c:v>
                </c:pt>
                <c:pt idx="268">
                  <c:v>9.8000000000000007</c:v>
                </c:pt>
                <c:pt idx="269">
                  <c:v>9.8000000000000007</c:v>
                </c:pt>
                <c:pt idx="270">
                  <c:v>9.8000000000000007</c:v>
                </c:pt>
                <c:pt idx="271">
                  <c:v>9.8000000000000007</c:v>
                </c:pt>
                <c:pt idx="272">
                  <c:v>9.9</c:v>
                </c:pt>
                <c:pt idx="273">
                  <c:v>9.9</c:v>
                </c:pt>
                <c:pt idx="274">
                  <c:v>9.9</c:v>
                </c:pt>
                <c:pt idx="275">
                  <c:v>10</c:v>
                </c:pt>
                <c:pt idx="276">
                  <c:v>10</c:v>
                </c:pt>
                <c:pt idx="277">
                  <c:v>10</c:v>
                </c:pt>
                <c:pt idx="278">
                  <c:v>10.1</c:v>
                </c:pt>
                <c:pt idx="279">
                  <c:v>10.1</c:v>
                </c:pt>
                <c:pt idx="280">
                  <c:v>10.1</c:v>
                </c:pt>
                <c:pt idx="281">
                  <c:v>10.199999999999999</c:v>
                </c:pt>
                <c:pt idx="282">
                  <c:v>10.199999999999999</c:v>
                </c:pt>
                <c:pt idx="283">
                  <c:v>10.199999999999999</c:v>
                </c:pt>
                <c:pt idx="284">
                  <c:v>10.3</c:v>
                </c:pt>
                <c:pt idx="285">
                  <c:v>10.3</c:v>
                </c:pt>
                <c:pt idx="286">
                  <c:v>10.4</c:v>
                </c:pt>
                <c:pt idx="287">
                  <c:v>10.4</c:v>
                </c:pt>
                <c:pt idx="288">
                  <c:v>10.4</c:v>
                </c:pt>
                <c:pt idx="289">
                  <c:v>10.5</c:v>
                </c:pt>
                <c:pt idx="290">
                  <c:v>10.5</c:v>
                </c:pt>
                <c:pt idx="291">
                  <c:v>10.6</c:v>
                </c:pt>
                <c:pt idx="292">
                  <c:v>10.6</c:v>
                </c:pt>
                <c:pt idx="293">
                  <c:v>10.7</c:v>
                </c:pt>
                <c:pt idx="294">
                  <c:v>10.7</c:v>
                </c:pt>
                <c:pt idx="295">
                  <c:v>10.7</c:v>
                </c:pt>
                <c:pt idx="296">
                  <c:v>10.8</c:v>
                </c:pt>
                <c:pt idx="297">
                  <c:v>10.8</c:v>
                </c:pt>
                <c:pt idx="298">
                  <c:v>10.9</c:v>
                </c:pt>
                <c:pt idx="299">
                  <c:v>10.9</c:v>
                </c:pt>
                <c:pt idx="300">
                  <c:v>11</c:v>
                </c:pt>
                <c:pt idx="301">
                  <c:v>11</c:v>
                </c:pt>
                <c:pt idx="302">
                  <c:v>11.1</c:v>
                </c:pt>
                <c:pt idx="303">
                  <c:v>11.1</c:v>
                </c:pt>
                <c:pt idx="304">
                  <c:v>11.2</c:v>
                </c:pt>
                <c:pt idx="305">
                  <c:v>11.3</c:v>
                </c:pt>
                <c:pt idx="306">
                  <c:v>11.3</c:v>
                </c:pt>
                <c:pt idx="307">
                  <c:v>11.4</c:v>
                </c:pt>
                <c:pt idx="308">
                  <c:v>11.4</c:v>
                </c:pt>
                <c:pt idx="309">
                  <c:v>11.5</c:v>
                </c:pt>
                <c:pt idx="310">
                  <c:v>11.5</c:v>
                </c:pt>
                <c:pt idx="311">
                  <c:v>11.6</c:v>
                </c:pt>
                <c:pt idx="312">
                  <c:v>11.7</c:v>
                </c:pt>
                <c:pt idx="313">
                  <c:v>11.7</c:v>
                </c:pt>
                <c:pt idx="314">
                  <c:v>11.8</c:v>
                </c:pt>
                <c:pt idx="315">
                  <c:v>11.8</c:v>
                </c:pt>
                <c:pt idx="316">
                  <c:v>11.9</c:v>
                </c:pt>
                <c:pt idx="317">
                  <c:v>12</c:v>
                </c:pt>
                <c:pt idx="318">
                  <c:v>12</c:v>
                </c:pt>
                <c:pt idx="319">
                  <c:v>12.1</c:v>
                </c:pt>
                <c:pt idx="320">
                  <c:v>12.2</c:v>
                </c:pt>
                <c:pt idx="321">
                  <c:v>12.2</c:v>
                </c:pt>
                <c:pt idx="322">
                  <c:v>12.3</c:v>
                </c:pt>
                <c:pt idx="323">
                  <c:v>12.4</c:v>
                </c:pt>
                <c:pt idx="324">
                  <c:v>12.4</c:v>
                </c:pt>
                <c:pt idx="325">
                  <c:v>12.5</c:v>
                </c:pt>
                <c:pt idx="326">
                  <c:v>12.6</c:v>
                </c:pt>
                <c:pt idx="327">
                  <c:v>12.7</c:v>
                </c:pt>
                <c:pt idx="328">
                  <c:v>12.7</c:v>
                </c:pt>
                <c:pt idx="329">
                  <c:v>12.8</c:v>
                </c:pt>
                <c:pt idx="330">
                  <c:v>12.9</c:v>
                </c:pt>
                <c:pt idx="331">
                  <c:v>13</c:v>
                </c:pt>
                <c:pt idx="332">
                  <c:v>13</c:v>
                </c:pt>
                <c:pt idx="333">
                  <c:v>13.1</c:v>
                </c:pt>
                <c:pt idx="334">
                  <c:v>13.2</c:v>
                </c:pt>
                <c:pt idx="335">
                  <c:v>13.3</c:v>
                </c:pt>
                <c:pt idx="336">
                  <c:v>13.4</c:v>
                </c:pt>
                <c:pt idx="337">
                  <c:v>13.4</c:v>
                </c:pt>
                <c:pt idx="338">
                  <c:v>13.5</c:v>
                </c:pt>
                <c:pt idx="339">
                  <c:v>13.6</c:v>
                </c:pt>
                <c:pt idx="340">
                  <c:v>13.7</c:v>
                </c:pt>
                <c:pt idx="341">
                  <c:v>13.8</c:v>
                </c:pt>
                <c:pt idx="342">
                  <c:v>13.9</c:v>
                </c:pt>
                <c:pt idx="343">
                  <c:v>14</c:v>
                </c:pt>
                <c:pt idx="344">
                  <c:v>14.1</c:v>
                </c:pt>
                <c:pt idx="345">
                  <c:v>14.2</c:v>
                </c:pt>
                <c:pt idx="346">
                  <c:v>14.3</c:v>
                </c:pt>
                <c:pt idx="347">
                  <c:v>14.3</c:v>
                </c:pt>
                <c:pt idx="348">
                  <c:v>14.4</c:v>
                </c:pt>
                <c:pt idx="349">
                  <c:v>14.5</c:v>
                </c:pt>
                <c:pt idx="350">
                  <c:v>14.6</c:v>
                </c:pt>
                <c:pt idx="351">
                  <c:v>14.7</c:v>
                </c:pt>
                <c:pt idx="352">
                  <c:v>14.8</c:v>
                </c:pt>
                <c:pt idx="353">
                  <c:v>15</c:v>
                </c:pt>
                <c:pt idx="354">
                  <c:v>15.1</c:v>
                </c:pt>
                <c:pt idx="355">
                  <c:v>15.2</c:v>
                </c:pt>
                <c:pt idx="356">
                  <c:v>15.3</c:v>
                </c:pt>
                <c:pt idx="357">
                  <c:v>15.4</c:v>
                </c:pt>
                <c:pt idx="358">
                  <c:v>15.5</c:v>
                </c:pt>
                <c:pt idx="359">
                  <c:v>15.6</c:v>
                </c:pt>
                <c:pt idx="360">
                  <c:v>15.7</c:v>
                </c:pt>
                <c:pt idx="361">
                  <c:v>15.8</c:v>
                </c:pt>
                <c:pt idx="362">
                  <c:v>16</c:v>
                </c:pt>
                <c:pt idx="363">
                  <c:v>16.100000000000001</c:v>
                </c:pt>
                <c:pt idx="364">
                  <c:v>16.2</c:v>
                </c:pt>
                <c:pt idx="365">
                  <c:v>16.3</c:v>
                </c:pt>
                <c:pt idx="366">
                  <c:v>16.399999999999999</c:v>
                </c:pt>
                <c:pt idx="367">
                  <c:v>16.600000000000001</c:v>
                </c:pt>
                <c:pt idx="368">
                  <c:v>16.7</c:v>
                </c:pt>
                <c:pt idx="369">
                  <c:v>16.8</c:v>
                </c:pt>
                <c:pt idx="370">
                  <c:v>17</c:v>
                </c:pt>
                <c:pt idx="371">
                  <c:v>17.100000000000001</c:v>
                </c:pt>
                <c:pt idx="372">
                  <c:v>17.2</c:v>
                </c:pt>
                <c:pt idx="373">
                  <c:v>17.399999999999999</c:v>
                </c:pt>
                <c:pt idx="374">
                  <c:v>17.5</c:v>
                </c:pt>
                <c:pt idx="375">
                  <c:v>17.600000000000001</c:v>
                </c:pt>
                <c:pt idx="376">
                  <c:v>17.8</c:v>
                </c:pt>
                <c:pt idx="377">
                  <c:v>17.899999999999999</c:v>
                </c:pt>
                <c:pt idx="378">
                  <c:v>18.100000000000001</c:v>
                </c:pt>
                <c:pt idx="379">
                  <c:v>18.2</c:v>
                </c:pt>
                <c:pt idx="380">
                  <c:v>18.399999999999999</c:v>
                </c:pt>
                <c:pt idx="381">
                  <c:v>18.5</c:v>
                </c:pt>
                <c:pt idx="382">
                  <c:v>18.7</c:v>
                </c:pt>
                <c:pt idx="383">
                  <c:v>18.899999999999999</c:v>
                </c:pt>
                <c:pt idx="384">
                  <c:v>19</c:v>
                </c:pt>
                <c:pt idx="385">
                  <c:v>19.2</c:v>
                </c:pt>
                <c:pt idx="386">
                  <c:v>19.399999999999999</c:v>
                </c:pt>
                <c:pt idx="387">
                  <c:v>19.5</c:v>
                </c:pt>
                <c:pt idx="388">
                  <c:v>19.7</c:v>
                </c:pt>
                <c:pt idx="389">
                  <c:v>19.899999999999999</c:v>
                </c:pt>
                <c:pt idx="390">
                  <c:v>20.100000000000001</c:v>
                </c:pt>
                <c:pt idx="391">
                  <c:v>20.2</c:v>
                </c:pt>
                <c:pt idx="392">
                  <c:v>20.399999999999999</c:v>
                </c:pt>
                <c:pt idx="393">
                  <c:v>20.6</c:v>
                </c:pt>
                <c:pt idx="394">
                  <c:v>20.8</c:v>
                </c:pt>
                <c:pt idx="395">
                  <c:v>21</c:v>
                </c:pt>
                <c:pt idx="396">
                  <c:v>21.2</c:v>
                </c:pt>
                <c:pt idx="397">
                  <c:v>21.4</c:v>
                </c:pt>
                <c:pt idx="398">
                  <c:v>21.6</c:v>
                </c:pt>
                <c:pt idx="399">
                  <c:v>21.8</c:v>
                </c:pt>
                <c:pt idx="400">
                  <c:v>22</c:v>
                </c:pt>
                <c:pt idx="401">
                  <c:v>22.2</c:v>
                </c:pt>
                <c:pt idx="402">
                  <c:v>22.4</c:v>
                </c:pt>
                <c:pt idx="403">
                  <c:v>22.7</c:v>
                </c:pt>
                <c:pt idx="404">
                  <c:v>22.9</c:v>
                </c:pt>
                <c:pt idx="405">
                  <c:v>23.1</c:v>
                </c:pt>
                <c:pt idx="406">
                  <c:v>23.4</c:v>
                </c:pt>
                <c:pt idx="407">
                  <c:v>23.6</c:v>
                </c:pt>
                <c:pt idx="408">
                  <c:v>23.8</c:v>
                </c:pt>
                <c:pt idx="409">
                  <c:v>24.1</c:v>
                </c:pt>
                <c:pt idx="410">
                  <c:v>24.3</c:v>
                </c:pt>
                <c:pt idx="411">
                  <c:v>24.6</c:v>
                </c:pt>
                <c:pt idx="412">
                  <c:v>24.8</c:v>
                </c:pt>
                <c:pt idx="413">
                  <c:v>25.1</c:v>
                </c:pt>
                <c:pt idx="414">
                  <c:v>25.4</c:v>
                </c:pt>
                <c:pt idx="415">
                  <c:v>25.6</c:v>
                </c:pt>
                <c:pt idx="416">
                  <c:v>25.9</c:v>
                </c:pt>
                <c:pt idx="417">
                  <c:v>26.2</c:v>
                </c:pt>
                <c:pt idx="418">
                  <c:v>26.5</c:v>
                </c:pt>
                <c:pt idx="419">
                  <c:v>26.8</c:v>
                </c:pt>
                <c:pt idx="420">
                  <c:v>27.1</c:v>
                </c:pt>
                <c:pt idx="421">
                  <c:v>27.4</c:v>
                </c:pt>
                <c:pt idx="422">
                  <c:v>27.7</c:v>
                </c:pt>
                <c:pt idx="423">
                  <c:v>28</c:v>
                </c:pt>
                <c:pt idx="424">
                  <c:v>28.3</c:v>
                </c:pt>
                <c:pt idx="425">
                  <c:v>28.7</c:v>
                </c:pt>
                <c:pt idx="426">
                  <c:v>29</c:v>
                </c:pt>
                <c:pt idx="427">
                  <c:v>29.4</c:v>
                </c:pt>
                <c:pt idx="428">
                  <c:v>29.7</c:v>
                </c:pt>
                <c:pt idx="429">
                  <c:v>30.1</c:v>
                </c:pt>
                <c:pt idx="430">
                  <c:v>30.4</c:v>
                </c:pt>
                <c:pt idx="431">
                  <c:v>30.8</c:v>
                </c:pt>
                <c:pt idx="432">
                  <c:v>31.2</c:v>
                </c:pt>
                <c:pt idx="433">
                  <c:v>31.6</c:v>
                </c:pt>
                <c:pt idx="434">
                  <c:v>31.9</c:v>
                </c:pt>
                <c:pt idx="435">
                  <c:v>32.4</c:v>
                </c:pt>
                <c:pt idx="436">
                  <c:v>32.799999999999997</c:v>
                </c:pt>
                <c:pt idx="437">
                  <c:v>33.200000000000003</c:v>
                </c:pt>
                <c:pt idx="438">
                  <c:v>33.6</c:v>
                </c:pt>
                <c:pt idx="439">
                  <c:v>34</c:v>
                </c:pt>
                <c:pt idx="440">
                  <c:v>34.5</c:v>
                </c:pt>
                <c:pt idx="441">
                  <c:v>34.9</c:v>
                </c:pt>
                <c:pt idx="442">
                  <c:v>35.4</c:v>
                </c:pt>
                <c:pt idx="443">
                  <c:v>35.9</c:v>
                </c:pt>
                <c:pt idx="444">
                  <c:v>36.4</c:v>
                </c:pt>
                <c:pt idx="445">
                  <c:v>36.9</c:v>
                </c:pt>
                <c:pt idx="446">
                  <c:v>37.4</c:v>
                </c:pt>
                <c:pt idx="447">
                  <c:v>37.9</c:v>
                </c:pt>
                <c:pt idx="448">
                  <c:v>38.4</c:v>
                </c:pt>
                <c:pt idx="449">
                  <c:v>39</c:v>
                </c:pt>
                <c:pt idx="450">
                  <c:v>39.5</c:v>
                </c:pt>
                <c:pt idx="451">
                  <c:v>40.1</c:v>
                </c:pt>
                <c:pt idx="452">
                  <c:v>40.700000000000003</c:v>
                </c:pt>
                <c:pt idx="453">
                  <c:v>41.3</c:v>
                </c:pt>
                <c:pt idx="454">
                  <c:v>41.9</c:v>
                </c:pt>
                <c:pt idx="455">
                  <c:v>42.5</c:v>
                </c:pt>
                <c:pt idx="456">
                  <c:v>43.2</c:v>
                </c:pt>
                <c:pt idx="457">
                  <c:v>43.8</c:v>
                </c:pt>
                <c:pt idx="458">
                  <c:v>44.5</c:v>
                </c:pt>
                <c:pt idx="459">
                  <c:v>45.2</c:v>
                </c:pt>
                <c:pt idx="460">
                  <c:v>45.9</c:v>
                </c:pt>
                <c:pt idx="461">
                  <c:v>46.6</c:v>
                </c:pt>
                <c:pt idx="462">
                  <c:v>47.4</c:v>
                </c:pt>
                <c:pt idx="463">
                  <c:v>48.1</c:v>
                </c:pt>
                <c:pt idx="464">
                  <c:v>48.9</c:v>
                </c:pt>
                <c:pt idx="465">
                  <c:v>49.7</c:v>
                </c:pt>
                <c:pt idx="466">
                  <c:v>50.6</c:v>
                </c:pt>
                <c:pt idx="467">
                  <c:v>51.4</c:v>
                </c:pt>
                <c:pt idx="468">
                  <c:v>52.3</c:v>
                </c:pt>
                <c:pt idx="469">
                  <c:v>53.2</c:v>
                </c:pt>
                <c:pt idx="470">
                  <c:v>54.1</c:v>
                </c:pt>
                <c:pt idx="471">
                  <c:v>55</c:v>
                </c:pt>
                <c:pt idx="472">
                  <c:v>56</c:v>
                </c:pt>
                <c:pt idx="473">
                  <c:v>57</c:v>
                </c:pt>
                <c:pt idx="474">
                  <c:v>58.1</c:v>
                </c:pt>
                <c:pt idx="475">
                  <c:v>59.1</c:v>
                </c:pt>
                <c:pt idx="476">
                  <c:v>60.2</c:v>
                </c:pt>
                <c:pt idx="477">
                  <c:v>61.3</c:v>
                </c:pt>
                <c:pt idx="478">
                  <c:v>62.5</c:v>
                </c:pt>
                <c:pt idx="479">
                  <c:v>63.7</c:v>
                </c:pt>
                <c:pt idx="480">
                  <c:v>64.900000000000006</c:v>
                </c:pt>
                <c:pt idx="481">
                  <c:v>66.2</c:v>
                </c:pt>
                <c:pt idx="482">
                  <c:v>67.5</c:v>
                </c:pt>
                <c:pt idx="483">
                  <c:v>68.900000000000006</c:v>
                </c:pt>
                <c:pt idx="484">
                  <c:v>70.3</c:v>
                </c:pt>
                <c:pt idx="485">
                  <c:v>71.7</c:v>
                </c:pt>
                <c:pt idx="486">
                  <c:v>73.2</c:v>
                </c:pt>
                <c:pt idx="487">
                  <c:v>74.8</c:v>
                </c:pt>
                <c:pt idx="488">
                  <c:v>76.400000000000006</c:v>
                </c:pt>
                <c:pt idx="489">
                  <c:v>78.099999999999994</c:v>
                </c:pt>
                <c:pt idx="490">
                  <c:v>79.8</c:v>
                </c:pt>
                <c:pt idx="491">
                  <c:v>81.7</c:v>
                </c:pt>
                <c:pt idx="492">
                  <c:v>83.6</c:v>
                </c:pt>
                <c:pt idx="493">
                  <c:v>85.5</c:v>
                </c:pt>
                <c:pt idx="494">
                  <c:v>87.6</c:v>
                </c:pt>
                <c:pt idx="495">
                  <c:v>89.8</c:v>
                </c:pt>
                <c:pt idx="496">
                  <c:v>92</c:v>
                </c:pt>
                <c:pt idx="497">
                  <c:v>94.3</c:v>
                </c:pt>
                <c:pt idx="498">
                  <c:v>96.8</c:v>
                </c:pt>
                <c:pt idx="499">
                  <c:v>99.4</c:v>
                </c:pt>
                <c:pt idx="500">
                  <c:v>102.2</c:v>
                </c:pt>
                <c:pt idx="501">
                  <c:v>105</c:v>
                </c:pt>
                <c:pt idx="502">
                  <c:v>108</c:v>
                </c:pt>
                <c:pt idx="503">
                  <c:v>111.1</c:v>
                </c:pt>
                <c:pt idx="504">
                  <c:v>114.5</c:v>
                </c:pt>
                <c:pt idx="505">
                  <c:v>118.3</c:v>
                </c:pt>
                <c:pt idx="506">
                  <c:v>121.8</c:v>
                </c:pt>
                <c:pt idx="507">
                  <c:v>125.6</c:v>
                </c:pt>
                <c:pt idx="508">
                  <c:v>129.80000000000001</c:v>
                </c:pt>
                <c:pt idx="509">
                  <c:v>134.30000000000001</c:v>
                </c:pt>
                <c:pt idx="510">
                  <c:v>139.30000000000001</c:v>
                </c:pt>
                <c:pt idx="511">
                  <c:v>143.80000000000001</c:v>
                </c:pt>
                <c:pt idx="512">
                  <c:v>148.69999999999999</c:v>
                </c:pt>
                <c:pt idx="513">
                  <c:v>154</c:v>
                </c:pt>
                <c:pt idx="514">
                  <c:v>159.80000000000001</c:v>
                </c:pt>
                <c:pt idx="515">
                  <c:v>166.4</c:v>
                </c:pt>
                <c:pt idx="516">
                  <c:v>172.2</c:v>
                </c:pt>
                <c:pt idx="517">
                  <c:v>177.7</c:v>
                </c:pt>
                <c:pt idx="518">
                  <c:v>183.9</c:v>
                </c:pt>
                <c:pt idx="519">
                  <c:v>190.6</c:v>
                </c:pt>
                <c:pt idx="520">
                  <c:v>198.1</c:v>
                </c:pt>
                <c:pt idx="521">
                  <c:v>205.2</c:v>
                </c:pt>
                <c:pt idx="522">
                  <c:v>210</c:v>
                </c:pt>
                <c:pt idx="523">
                  <c:v>215.8</c:v>
                </c:pt>
                <c:pt idx="524">
                  <c:v>222.1</c:v>
                </c:pt>
                <c:pt idx="525">
                  <c:v>228.7</c:v>
                </c:pt>
                <c:pt idx="526">
                  <c:v>236.5</c:v>
                </c:pt>
                <c:pt idx="527">
                  <c:v>238.5</c:v>
                </c:pt>
                <c:pt idx="528">
                  <c:v>242.2</c:v>
                </c:pt>
                <c:pt idx="529">
                  <c:v>246.2</c:v>
                </c:pt>
                <c:pt idx="530">
                  <c:v>250</c:v>
                </c:pt>
                <c:pt idx="531">
                  <c:v>253.9</c:v>
                </c:pt>
                <c:pt idx="532">
                  <c:v>255.5</c:v>
                </c:pt>
                <c:pt idx="533">
                  <c:v>257</c:v>
                </c:pt>
                <c:pt idx="534">
                  <c:v>258.5</c:v>
                </c:pt>
                <c:pt idx="535">
                  <c:v>259.89999999999998</c:v>
                </c:pt>
                <c:pt idx="536">
                  <c:v>261.10000000000002</c:v>
                </c:pt>
                <c:pt idx="537">
                  <c:v>261.89999999999998</c:v>
                </c:pt>
                <c:pt idx="538">
                  <c:v>262.39999999999998</c:v>
                </c:pt>
                <c:pt idx="539">
                  <c:v>263</c:v>
                </c:pt>
                <c:pt idx="540">
                  <c:v>263.39999999999998</c:v>
                </c:pt>
                <c:pt idx="541">
                  <c:v>263.8</c:v>
                </c:pt>
                <c:pt idx="542">
                  <c:v>264.2</c:v>
                </c:pt>
                <c:pt idx="543">
                  <c:v>264.5</c:v>
                </c:pt>
                <c:pt idx="544">
                  <c:v>264.7</c:v>
                </c:pt>
                <c:pt idx="545">
                  <c:v>265</c:v>
                </c:pt>
                <c:pt idx="546">
                  <c:v>265.2</c:v>
                </c:pt>
                <c:pt idx="547">
                  <c:v>265.39999999999998</c:v>
                </c:pt>
                <c:pt idx="548">
                  <c:v>265.5</c:v>
                </c:pt>
                <c:pt idx="549">
                  <c:v>265.7</c:v>
                </c:pt>
                <c:pt idx="550">
                  <c:v>265.8</c:v>
                </c:pt>
                <c:pt idx="551">
                  <c:v>266</c:v>
                </c:pt>
                <c:pt idx="552">
                  <c:v>266.10000000000002</c:v>
                </c:pt>
                <c:pt idx="553">
                  <c:v>266.2</c:v>
                </c:pt>
                <c:pt idx="554">
                  <c:v>266.3</c:v>
                </c:pt>
                <c:pt idx="555">
                  <c:v>266.39999999999998</c:v>
                </c:pt>
                <c:pt idx="556">
                  <c:v>266.39999999999998</c:v>
                </c:pt>
                <c:pt idx="557">
                  <c:v>266.5</c:v>
                </c:pt>
                <c:pt idx="558">
                  <c:v>266.60000000000002</c:v>
                </c:pt>
                <c:pt idx="559">
                  <c:v>266.60000000000002</c:v>
                </c:pt>
                <c:pt idx="560">
                  <c:v>266.7</c:v>
                </c:pt>
                <c:pt idx="561">
                  <c:v>266.7</c:v>
                </c:pt>
                <c:pt idx="562">
                  <c:v>266.8</c:v>
                </c:pt>
                <c:pt idx="563">
                  <c:v>266.8</c:v>
                </c:pt>
                <c:pt idx="564">
                  <c:v>266.89999999999998</c:v>
                </c:pt>
                <c:pt idx="565">
                  <c:v>266.89999999999998</c:v>
                </c:pt>
                <c:pt idx="566">
                  <c:v>266.89999999999998</c:v>
                </c:pt>
                <c:pt idx="567">
                  <c:v>267</c:v>
                </c:pt>
                <c:pt idx="568">
                  <c:v>267</c:v>
                </c:pt>
                <c:pt idx="569">
                  <c:v>267</c:v>
                </c:pt>
                <c:pt idx="570">
                  <c:v>267.10000000000002</c:v>
                </c:pt>
                <c:pt idx="571">
                  <c:v>267.10000000000002</c:v>
                </c:pt>
                <c:pt idx="572">
                  <c:v>267.10000000000002</c:v>
                </c:pt>
                <c:pt idx="573">
                  <c:v>267.10000000000002</c:v>
                </c:pt>
                <c:pt idx="574">
                  <c:v>267.10000000000002</c:v>
                </c:pt>
                <c:pt idx="575">
                  <c:v>267.2</c:v>
                </c:pt>
                <c:pt idx="576">
                  <c:v>267.2</c:v>
                </c:pt>
                <c:pt idx="577">
                  <c:v>267.2</c:v>
                </c:pt>
                <c:pt idx="578">
                  <c:v>267.2</c:v>
                </c:pt>
                <c:pt idx="579">
                  <c:v>267.2</c:v>
                </c:pt>
                <c:pt idx="580">
                  <c:v>267.2</c:v>
                </c:pt>
                <c:pt idx="581">
                  <c:v>267.2</c:v>
                </c:pt>
                <c:pt idx="582">
                  <c:v>267.2</c:v>
                </c:pt>
                <c:pt idx="583">
                  <c:v>267.2</c:v>
                </c:pt>
                <c:pt idx="584">
                  <c:v>267.2</c:v>
                </c:pt>
                <c:pt idx="585">
                  <c:v>267.3</c:v>
                </c:pt>
                <c:pt idx="586">
                  <c:v>267.3</c:v>
                </c:pt>
                <c:pt idx="587">
                  <c:v>267.3</c:v>
                </c:pt>
                <c:pt idx="588">
                  <c:v>267.3</c:v>
                </c:pt>
                <c:pt idx="589">
                  <c:v>267.3</c:v>
                </c:pt>
                <c:pt idx="590">
                  <c:v>267.3</c:v>
                </c:pt>
                <c:pt idx="591">
                  <c:v>267.3</c:v>
                </c:pt>
                <c:pt idx="592">
                  <c:v>267.3</c:v>
                </c:pt>
                <c:pt idx="593">
                  <c:v>267.3</c:v>
                </c:pt>
                <c:pt idx="594">
                  <c:v>267.3</c:v>
                </c:pt>
                <c:pt idx="595">
                  <c:v>267.3</c:v>
                </c:pt>
                <c:pt idx="596">
                  <c:v>267.3</c:v>
                </c:pt>
                <c:pt idx="597">
                  <c:v>267.3</c:v>
                </c:pt>
                <c:pt idx="598">
                  <c:v>267.3</c:v>
                </c:pt>
                <c:pt idx="599">
                  <c:v>267.3</c:v>
                </c:pt>
                <c:pt idx="600">
                  <c:v>267.3</c:v>
                </c:pt>
                <c:pt idx="601">
                  <c:v>267.3</c:v>
                </c:pt>
                <c:pt idx="602">
                  <c:v>267.3</c:v>
                </c:pt>
                <c:pt idx="603">
                  <c:v>267.3</c:v>
                </c:pt>
                <c:pt idx="604">
                  <c:v>267.3</c:v>
                </c:pt>
                <c:pt idx="605">
                  <c:v>267.3</c:v>
                </c:pt>
                <c:pt idx="606">
                  <c:v>267.2</c:v>
                </c:pt>
                <c:pt idx="607">
                  <c:v>267.2</c:v>
                </c:pt>
                <c:pt idx="608">
                  <c:v>267.2</c:v>
                </c:pt>
                <c:pt idx="609">
                  <c:v>267.2</c:v>
                </c:pt>
                <c:pt idx="610">
                  <c:v>267.2</c:v>
                </c:pt>
                <c:pt idx="611">
                  <c:v>267.2</c:v>
                </c:pt>
                <c:pt idx="612">
                  <c:v>267.10000000000002</c:v>
                </c:pt>
                <c:pt idx="613">
                  <c:v>267.10000000000002</c:v>
                </c:pt>
                <c:pt idx="614">
                  <c:v>267.10000000000002</c:v>
                </c:pt>
                <c:pt idx="615">
                  <c:v>267</c:v>
                </c:pt>
                <c:pt idx="616">
                  <c:v>267</c:v>
                </c:pt>
                <c:pt idx="617">
                  <c:v>266.89999999999998</c:v>
                </c:pt>
                <c:pt idx="618">
                  <c:v>266.89999999999998</c:v>
                </c:pt>
                <c:pt idx="619">
                  <c:v>266.8</c:v>
                </c:pt>
                <c:pt idx="620">
                  <c:v>266.8</c:v>
                </c:pt>
                <c:pt idx="621">
                  <c:v>266.7</c:v>
                </c:pt>
                <c:pt idx="622">
                  <c:v>266.60000000000002</c:v>
                </c:pt>
                <c:pt idx="623">
                  <c:v>266.5</c:v>
                </c:pt>
                <c:pt idx="624">
                  <c:v>266.39999999999998</c:v>
                </c:pt>
                <c:pt idx="625">
                  <c:v>266.3</c:v>
                </c:pt>
                <c:pt idx="626">
                  <c:v>266.2</c:v>
                </c:pt>
                <c:pt idx="627">
                  <c:v>266</c:v>
                </c:pt>
                <c:pt idx="628">
                  <c:v>265.89999999999998</c:v>
                </c:pt>
                <c:pt idx="629">
                  <c:v>265.7</c:v>
                </c:pt>
                <c:pt idx="630">
                  <c:v>265.5</c:v>
                </c:pt>
                <c:pt idx="631">
                  <c:v>265.3</c:v>
                </c:pt>
                <c:pt idx="632">
                  <c:v>265.10000000000002</c:v>
                </c:pt>
                <c:pt idx="633">
                  <c:v>264.89999999999998</c:v>
                </c:pt>
                <c:pt idx="634">
                  <c:v>264.60000000000002</c:v>
                </c:pt>
                <c:pt idx="635">
                  <c:v>264.39999999999998</c:v>
                </c:pt>
                <c:pt idx="636">
                  <c:v>264</c:v>
                </c:pt>
                <c:pt idx="637">
                  <c:v>263.7</c:v>
                </c:pt>
                <c:pt idx="638">
                  <c:v>263.2</c:v>
                </c:pt>
                <c:pt idx="639">
                  <c:v>262.7</c:v>
                </c:pt>
                <c:pt idx="640">
                  <c:v>262</c:v>
                </c:pt>
                <c:pt idx="641">
                  <c:v>261.3</c:v>
                </c:pt>
                <c:pt idx="642">
                  <c:v>260.60000000000002</c:v>
                </c:pt>
                <c:pt idx="643">
                  <c:v>259.3</c:v>
                </c:pt>
                <c:pt idx="644">
                  <c:v>257.5</c:v>
                </c:pt>
                <c:pt idx="645">
                  <c:v>255.4</c:v>
                </c:pt>
                <c:pt idx="646">
                  <c:v>253.3</c:v>
                </c:pt>
                <c:pt idx="647">
                  <c:v>251.3</c:v>
                </c:pt>
                <c:pt idx="648">
                  <c:v>248.8</c:v>
                </c:pt>
                <c:pt idx="649">
                  <c:v>244.3</c:v>
                </c:pt>
                <c:pt idx="650">
                  <c:v>239.9</c:v>
                </c:pt>
                <c:pt idx="651">
                  <c:v>235.5</c:v>
                </c:pt>
                <c:pt idx="652">
                  <c:v>231.4</c:v>
                </c:pt>
                <c:pt idx="653">
                  <c:v>228.7</c:v>
                </c:pt>
                <c:pt idx="654">
                  <c:v>221.3</c:v>
                </c:pt>
                <c:pt idx="655">
                  <c:v>215.2</c:v>
                </c:pt>
                <c:pt idx="656">
                  <c:v>209.4</c:v>
                </c:pt>
                <c:pt idx="657">
                  <c:v>204</c:v>
                </c:pt>
                <c:pt idx="658">
                  <c:v>199.2</c:v>
                </c:pt>
                <c:pt idx="659">
                  <c:v>193.2</c:v>
                </c:pt>
                <c:pt idx="660">
                  <c:v>187</c:v>
                </c:pt>
                <c:pt idx="661">
                  <c:v>181.3</c:v>
                </c:pt>
                <c:pt idx="662">
                  <c:v>176</c:v>
                </c:pt>
                <c:pt idx="663">
                  <c:v>171.1</c:v>
                </c:pt>
                <c:pt idx="664">
                  <c:v>166.4</c:v>
                </c:pt>
                <c:pt idx="665">
                  <c:v>161.1</c:v>
                </c:pt>
                <c:pt idx="666">
                  <c:v>156.30000000000001</c:v>
                </c:pt>
                <c:pt idx="667">
                  <c:v>151.9</c:v>
                </c:pt>
                <c:pt idx="668">
                  <c:v>147.80000000000001</c:v>
                </c:pt>
                <c:pt idx="669">
                  <c:v>144.1</c:v>
                </c:pt>
                <c:pt idx="670">
                  <c:v>139.9</c:v>
                </c:pt>
                <c:pt idx="671">
                  <c:v>136.1</c:v>
                </c:pt>
                <c:pt idx="672">
                  <c:v>132.6</c:v>
                </c:pt>
                <c:pt idx="673">
                  <c:v>129.30000000000001</c:v>
                </c:pt>
                <c:pt idx="674">
                  <c:v>126.2</c:v>
                </c:pt>
                <c:pt idx="675">
                  <c:v>123.1</c:v>
                </c:pt>
                <c:pt idx="676">
                  <c:v>120.2</c:v>
                </c:pt>
                <c:pt idx="677">
                  <c:v>117.4</c:v>
                </c:pt>
                <c:pt idx="678">
                  <c:v>114.8</c:v>
                </c:pt>
                <c:pt idx="679">
                  <c:v>112.3</c:v>
                </c:pt>
                <c:pt idx="680">
                  <c:v>109.8</c:v>
                </c:pt>
                <c:pt idx="681">
                  <c:v>107.5</c:v>
                </c:pt>
                <c:pt idx="682">
                  <c:v>105.3</c:v>
                </c:pt>
                <c:pt idx="683">
                  <c:v>103.1</c:v>
                </c:pt>
                <c:pt idx="684">
                  <c:v>101.1</c:v>
                </c:pt>
                <c:pt idx="685">
                  <c:v>99.1</c:v>
                </c:pt>
                <c:pt idx="686">
                  <c:v>97.2</c:v>
                </c:pt>
                <c:pt idx="687">
                  <c:v>95.3</c:v>
                </c:pt>
                <c:pt idx="688">
                  <c:v>93.6</c:v>
                </c:pt>
                <c:pt idx="689">
                  <c:v>91.9</c:v>
                </c:pt>
                <c:pt idx="690">
                  <c:v>90.2</c:v>
                </c:pt>
                <c:pt idx="691">
                  <c:v>88.6</c:v>
                </c:pt>
                <c:pt idx="692">
                  <c:v>87.1</c:v>
                </c:pt>
                <c:pt idx="693">
                  <c:v>85.6</c:v>
                </c:pt>
                <c:pt idx="694">
                  <c:v>84.1</c:v>
                </c:pt>
                <c:pt idx="695">
                  <c:v>82.7</c:v>
                </c:pt>
                <c:pt idx="696">
                  <c:v>81.3</c:v>
                </c:pt>
                <c:pt idx="697">
                  <c:v>80</c:v>
                </c:pt>
                <c:pt idx="698">
                  <c:v>78.7</c:v>
                </c:pt>
                <c:pt idx="699">
                  <c:v>77.5</c:v>
                </c:pt>
                <c:pt idx="700">
                  <c:v>76.2</c:v>
                </c:pt>
                <c:pt idx="701">
                  <c:v>75.099999999999994</c:v>
                </c:pt>
                <c:pt idx="702">
                  <c:v>73.900000000000006</c:v>
                </c:pt>
                <c:pt idx="703">
                  <c:v>72.8</c:v>
                </c:pt>
                <c:pt idx="704">
                  <c:v>71.7</c:v>
                </c:pt>
                <c:pt idx="705">
                  <c:v>70.599999999999994</c:v>
                </c:pt>
                <c:pt idx="706">
                  <c:v>69.599999999999994</c:v>
                </c:pt>
                <c:pt idx="707">
                  <c:v>68.599999999999994</c:v>
                </c:pt>
                <c:pt idx="708">
                  <c:v>67.599999999999994</c:v>
                </c:pt>
                <c:pt idx="709">
                  <c:v>66.7</c:v>
                </c:pt>
                <c:pt idx="710">
                  <c:v>65.7</c:v>
                </c:pt>
                <c:pt idx="711">
                  <c:v>64.8</c:v>
                </c:pt>
                <c:pt idx="712">
                  <c:v>63.9</c:v>
                </c:pt>
                <c:pt idx="713">
                  <c:v>63.1</c:v>
                </c:pt>
                <c:pt idx="714">
                  <c:v>62.2</c:v>
                </c:pt>
                <c:pt idx="715">
                  <c:v>61.4</c:v>
                </c:pt>
                <c:pt idx="716">
                  <c:v>60.6</c:v>
                </c:pt>
                <c:pt idx="717">
                  <c:v>59.8</c:v>
                </c:pt>
                <c:pt idx="718">
                  <c:v>59</c:v>
                </c:pt>
                <c:pt idx="719">
                  <c:v>58.3</c:v>
                </c:pt>
                <c:pt idx="720">
                  <c:v>57.6</c:v>
                </c:pt>
                <c:pt idx="721">
                  <c:v>56.9</c:v>
                </c:pt>
                <c:pt idx="722">
                  <c:v>56.2</c:v>
                </c:pt>
                <c:pt idx="723">
                  <c:v>55.5</c:v>
                </c:pt>
                <c:pt idx="724">
                  <c:v>54.8</c:v>
                </c:pt>
                <c:pt idx="725">
                  <c:v>54.2</c:v>
                </c:pt>
                <c:pt idx="726">
                  <c:v>53.5</c:v>
                </c:pt>
                <c:pt idx="727">
                  <c:v>52.9</c:v>
                </c:pt>
                <c:pt idx="728">
                  <c:v>52.3</c:v>
                </c:pt>
                <c:pt idx="729">
                  <c:v>51.7</c:v>
                </c:pt>
                <c:pt idx="730">
                  <c:v>51.1</c:v>
                </c:pt>
                <c:pt idx="731">
                  <c:v>50.5</c:v>
                </c:pt>
                <c:pt idx="732">
                  <c:v>50</c:v>
                </c:pt>
                <c:pt idx="733">
                  <c:v>49.4</c:v>
                </c:pt>
                <c:pt idx="734">
                  <c:v>48.9</c:v>
                </c:pt>
                <c:pt idx="735">
                  <c:v>48.4</c:v>
                </c:pt>
                <c:pt idx="736">
                  <c:v>47.8</c:v>
                </c:pt>
                <c:pt idx="737">
                  <c:v>47.3</c:v>
                </c:pt>
                <c:pt idx="738">
                  <c:v>46.9</c:v>
                </c:pt>
                <c:pt idx="739">
                  <c:v>46.4</c:v>
                </c:pt>
                <c:pt idx="740">
                  <c:v>45.9</c:v>
                </c:pt>
                <c:pt idx="741">
                  <c:v>45.4</c:v>
                </c:pt>
                <c:pt idx="742">
                  <c:v>45</c:v>
                </c:pt>
                <c:pt idx="743">
                  <c:v>44.5</c:v>
                </c:pt>
                <c:pt idx="744">
                  <c:v>44.1</c:v>
                </c:pt>
                <c:pt idx="745">
                  <c:v>43.7</c:v>
                </c:pt>
                <c:pt idx="746">
                  <c:v>43.2</c:v>
                </c:pt>
                <c:pt idx="747">
                  <c:v>42.8</c:v>
                </c:pt>
                <c:pt idx="748">
                  <c:v>42.4</c:v>
                </c:pt>
                <c:pt idx="749">
                  <c:v>42</c:v>
                </c:pt>
                <c:pt idx="750">
                  <c:v>41.6</c:v>
                </c:pt>
                <c:pt idx="751">
                  <c:v>41.3</c:v>
                </c:pt>
                <c:pt idx="752">
                  <c:v>40.9</c:v>
                </c:pt>
                <c:pt idx="753">
                  <c:v>40.5</c:v>
                </c:pt>
                <c:pt idx="754">
                  <c:v>40.1</c:v>
                </c:pt>
                <c:pt idx="755">
                  <c:v>39.799999999999997</c:v>
                </c:pt>
                <c:pt idx="756">
                  <c:v>39.4</c:v>
                </c:pt>
                <c:pt idx="757">
                  <c:v>39.1</c:v>
                </c:pt>
                <c:pt idx="758">
                  <c:v>38.799999999999997</c:v>
                </c:pt>
                <c:pt idx="759">
                  <c:v>38.4</c:v>
                </c:pt>
                <c:pt idx="760">
                  <c:v>38.1</c:v>
                </c:pt>
                <c:pt idx="761">
                  <c:v>37.799999999999997</c:v>
                </c:pt>
                <c:pt idx="762">
                  <c:v>37.5</c:v>
                </c:pt>
                <c:pt idx="763">
                  <c:v>37.200000000000003</c:v>
                </c:pt>
                <c:pt idx="764">
                  <c:v>36.9</c:v>
                </c:pt>
                <c:pt idx="765">
                  <c:v>36.6</c:v>
                </c:pt>
                <c:pt idx="766">
                  <c:v>36.299999999999997</c:v>
                </c:pt>
                <c:pt idx="767">
                  <c:v>36</c:v>
                </c:pt>
                <c:pt idx="768">
                  <c:v>35.700000000000003</c:v>
                </c:pt>
                <c:pt idx="769">
                  <c:v>35.4</c:v>
                </c:pt>
                <c:pt idx="770">
                  <c:v>35.200000000000003</c:v>
                </c:pt>
                <c:pt idx="771">
                  <c:v>34.9</c:v>
                </c:pt>
                <c:pt idx="772">
                  <c:v>34.6</c:v>
                </c:pt>
                <c:pt idx="773">
                  <c:v>34.4</c:v>
                </c:pt>
                <c:pt idx="774">
                  <c:v>34.1</c:v>
                </c:pt>
                <c:pt idx="775">
                  <c:v>33.9</c:v>
                </c:pt>
                <c:pt idx="776">
                  <c:v>33.6</c:v>
                </c:pt>
                <c:pt idx="777">
                  <c:v>33.4</c:v>
                </c:pt>
                <c:pt idx="778">
                  <c:v>33.200000000000003</c:v>
                </c:pt>
                <c:pt idx="779">
                  <c:v>32.9</c:v>
                </c:pt>
                <c:pt idx="780">
                  <c:v>32.700000000000003</c:v>
                </c:pt>
                <c:pt idx="781">
                  <c:v>32.5</c:v>
                </c:pt>
                <c:pt idx="782">
                  <c:v>32.200000000000003</c:v>
                </c:pt>
                <c:pt idx="783">
                  <c:v>32</c:v>
                </c:pt>
                <c:pt idx="784">
                  <c:v>31.8</c:v>
                </c:pt>
                <c:pt idx="785">
                  <c:v>31.6</c:v>
                </c:pt>
                <c:pt idx="786">
                  <c:v>31.4</c:v>
                </c:pt>
                <c:pt idx="787">
                  <c:v>31.2</c:v>
                </c:pt>
                <c:pt idx="788">
                  <c:v>31</c:v>
                </c:pt>
                <c:pt idx="789">
                  <c:v>30.8</c:v>
                </c:pt>
                <c:pt idx="790">
                  <c:v>30.6</c:v>
                </c:pt>
                <c:pt idx="791">
                  <c:v>30.4</c:v>
                </c:pt>
                <c:pt idx="792">
                  <c:v>30.2</c:v>
                </c:pt>
                <c:pt idx="793">
                  <c:v>30</c:v>
                </c:pt>
                <c:pt idx="794">
                  <c:v>29.8</c:v>
                </c:pt>
                <c:pt idx="795">
                  <c:v>29.7</c:v>
                </c:pt>
                <c:pt idx="796">
                  <c:v>29.5</c:v>
                </c:pt>
                <c:pt idx="797">
                  <c:v>29.3</c:v>
                </c:pt>
                <c:pt idx="798">
                  <c:v>29.1</c:v>
                </c:pt>
                <c:pt idx="799">
                  <c:v>29</c:v>
                </c:pt>
                <c:pt idx="800">
                  <c:v>28.8</c:v>
                </c:pt>
                <c:pt idx="801">
                  <c:v>28.6</c:v>
                </c:pt>
                <c:pt idx="802">
                  <c:v>28.5</c:v>
                </c:pt>
                <c:pt idx="803">
                  <c:v>28.3</c:v>
                </c:pt>
                <c:pt idx="804">
                  <c:v>28.1</c:v>
                </c:pt>
                <c:pt idx="805">
                  <c:v>28</c:v>
                </c:pt>
                <c:pt idx="806">
                  <c:v>27.8</c:v>
                </c:pt>
                <c:pt idx="807">
                  <c:v>27.7</c:v>
                </c:pt>
                <c:pt idx="808">
                  <c:v>27.5</c:v>
                </c:pt>
                <c:pt idx="809">
                  <c:v>27.4</c:v>
                </c:pt>
                <c:pt idx="810">
                  <c:v>27.3</c:v>
                </c:pt>
                <c:pt idx="811">
                  <c:v>27.1</c:v>
                </c:pt>
                <c:pt idx="812">
                  <c:v>27</c:v>
                </c:pt>
                <c:pt idx="813">
                  <c:v>26.8</c:v>
                </c:pt>
                <c:pt idx="814">
                  <c:v>26.7</c:v>
                </c:pt>
                <c:pt idx="815">
                  <c:v>26.6</c:v>
                </c:pt>
                <c:pt idx="816">
                  <c:v>26.4</c:v>
                </c:pt>
                <c:pt idx="817">
                  <c:v>26.3</c:v>
                </c:pt>
                <c:pt idx="818">
                  <c:v>26.2</c:v>
                </c:pt>
                <c:pt idx="819">
                  <c:v>26</c:v>
                </c:pt>
                <c:pt idx="820">
                  <c:v>25.9</c:v>
                </c:pt>
                <c:pt idx="821">
                  <c:v>25.8</c:v>
                </c:pt>
                <c:pt idx="822">
                  <c:v>25.7</c:v>
                </c:pt>
                <c:pt idx="823">
                  <c:v>25.6</c:v>
                </c:pt>
                <c:pt idx="824">
                  <c:v>25.4</c:v>
                </c:pt>
                <c:pt idx="825">
                  <c:v>25.3</c:v>
                </c:pt>
                <c:pt idx="826">
                  <c:v>25.2</c:v>
                </c:pt>
                <c:pt idx="827">
                  <c:v>25.1</c:v>
                </c:pt>
                <c:pt idx="828">
                  <c:v>25</c:v>
                </c:pt>
                <c:pt idx="829">
                  <c:v>24.9</c:v>
                </c:pt>
                <c:pt idx="830">
                  <c:v>24.8</c:v>
                </c:pt>
                <c:pt idx="831">
                  <c:v>24.7</c:v>
                </c:pt>
                <c:pt idx="832">
                  <c:v>24.6</c:v>
                </c:pt>
                <c:pt idx="833">
                  <c:v>24.5</c:v>
                </c:pt>
                <c:pt idx="834">
                  <c:v>24.4</c:v>
                </c:pt>
                <c:pt idx="835">
                  <c:v>24.3</c:v>
                </c:pt>
                <c:pt idx="836">
                  <c:v>24.2</c:v>
                </c:pt>
                <c:pt idx="837">
                  <c:v>24.1</c:v>
                </c:pt>
                <c:pt idx="838">
                  <c:v>24</c:v>
                </c:pt>
                <c:pt idx="839">
                  <c:v>23.9</c:v>
                </c:pt>
                <c:pt idx="840">
                  <c:v>23.8</c:v>
                </c:pt>
                <c:pt idx="841">
                  <c:v>23.7</c:v>
                </c:pt>
                <c:pt idx="842">
                  <c:v>23.6</c:v>
                </c:pt>
                <c:pt idx="843">
                  <c:v>23.5</c:v>
                </c:pt>
                <c:pt idx="844">
                  <c:v>23.4</c:v>
                </c:pt>
                <c:pt idx="845">
                  <c:v>23.3</c:v>
                </c:pt>
                <c:pt idx="846">
                  <c:v>23.2</c:v>
                </c:pt>
                <c:pt idx="847">
                  <c:v>23.2</c:v>
                </c:pt>
                <c:pt idx="848">
                  <c:v>23.1</c:v>
                </c:pt>
                <c:pt idx="849">
                  <c:v>23</c:v>
                </c:pt>
                <c:pt idx="850">
                  <c:v>22.9</c:v>
                </c:pt>
                <c:pt idx="851">
                  <c:v>22.8</c:v>
                </c:pt>
                <c:pt idx="852">
                  <c:v>22.8</c:v>
                </c:pt>
                <c:pt idx="853">
                  <c:v>22.7</c:v>
                </c:pt>
                <c:pt idx="854">
                  <c:v>22.6</c:v>
                </c:pt>
                <c:pt idx="855">
                  <c:v>22.5</c:v>
                </c:pt>
                <c:pt idx="856">
                  <c:v>22.5</c:v>
                </c:pt>
                <c:pt idx="857">
                  <c:v>22.4</c:v>
                </c:pt>
                <c:pt idx="858">
                  <c:v>22.3</c:v>
                </c:pt>
                <c:pt idx="859">
                  <c:v>22.2</c:v>
                </c:pt>
                <c:pt idx="860">
                  <c:v>22.2</c:v>
                </c:pt>
                <c:pt idx="861">
                  <c:v>22.1</c:v>
                </c:pt>
                <c:pt idx="862">
                  <c:v>22</c:v>
                </c:pt>
                <c:pt idx="863">
                  <c:v>22</c:v>
                </c:pt>
                <c:pt idx="864">
                  <c:v>21.9</c:v>
                </c:pt>
                <c:pt idx="865">
                  <c:v>21.8</c:v>
                </c:pt>
                <c:pt idx="866">
                  <c:v>21.8</c:v>
                </c:pt>
                <c:pt idx="867">
                  <c:v>21.7</c:v>
                </c:pt>
                <c:pt idx="868">
                  <c:v>21.6</c:v>
                </c:pt>
                <c:pt idx="869">
                  <c:v>21.6</c:v>
                </c:pt>
                <c:pt idx="870">
                  <c:v>21.5</c:v>
                </c:pt>
                <c:pt idx="871">
                  <c:v>21.5</c:v>
                </c:pt>
                <c:pt idx="872">
                  <c:v>21.4</c:v>
                </c:pt>
                <c:pt idx="873">
                  <c:v>21.4</c:v>
                </c:pt>
                <c:pt idx="874">
                  <c:v>21.3</c:v>
                </c:pt>
                <c:pt idx="875">
                  <c:v>21.2</c:v>
                </c:pt>
                <c:pt idx="876">
                  <c:v>21.2</c:v>
                </c:pt>
                <c:pt idx="877">
                  <c:v>21.1</c:v>
                </c:pt>
                <c:pt idx="878">
                  <c:v>21.1</c:v>
                </c:pt>
                <c:pt idx="879">
                  <c:v>21</c:v>
                </c:pt>
                <c:pt idx="880">
                  <c:v>21</c:v>
                </c:pt>
                <c:pt idx="881">
                  <c:v>20.9</c:v>
                </c:pt>
                <c:pt idx="882">
                  <c:v>20.9</c:v>
                </c:pt>
                <c:pt idx="883">
                  <c:v>20.8</c:v>
                </c:pt>
                <c:pt idx="884">
                  <c:v>20.8</c:v>
                </c:pt>
                <c:pt idx="885">
                  <c:v>20.7</c:v>
                </c:pt>
                <c:pt idx="886">
                  <c:v>20.7</c:v>
                </c:pt>
                <c:pt idx="887">
                  <c:v>20.6</c:v>
                </c:pt>
                <c:pt idx="888">
                  <c:v>20.6</c:v>
                </c:pt>
                <c:pt idx="889">
                  <c:v>20.6</c:v>
                </c:pt>
                <c:pt idx="890">
                  <c:v>20.5</c:v>
                </c:pt>
                <c:pt idx="891">
                  <c:v>20.5</c:v>
                </c:pt>
                <c:pt idx="892">
                  <c:v>20.399999999999999</c:v>
                </c:pt>
                <c:pt idx="893">
                  <c:v>20.399999999999999</c:v>
                </c:pt>
                <c:pt idx="894">
                  <c:v>20.3</c:v>
                </c:pt>
                <c:pt idx="895">
                  <c:v>20.3</c:v>
                </c:pt>
                <c:pt idx="896">
                  <c:v>20.3</c:v>
                </c:pt>
                <c:pt idx="897">
                  <c:v>20.2</c:v>
                </c:pt>
                <c:pt idx="898">
                  <c:v>20.2</c:v>
                </c:pt>
                <c:pt idx="899">
                  <c:v>20.2</c:v>
                </c:pt>
                <c:pt idx="900">
                  <c:v>20.100000000000001</c:v>
                </c:pt>
                <c:pt idx="901">
                  <c:v>20.100000000000001</c:v>
                </c:pt>
                <c:pt idx="902">
                  <c:v>20</c:v>
                </c:pt>
                <c:pt idx="903">
                  <c:v>20</c:v>
                </c:pt>
                <c:pt idx="904">
                  <c:v>20</c:v>
                </c:pt>
                <c:pt idx="905">
                  <c:v>19.899999999999999</c:v>
                </c:pt>
                <c:pt idx="906">
                  <c:v>19.899999999999999</c:v>
                </c:pt>
                <c:pt idx="907">
                  <c:v>19.899999999999999</c:v>
                </c:pt>
                <c:pt idx="908">
                  <c:v>19.899999999999999</c:v>
                </c:pt>
                <c:pt idx="909">
                  <c:v>19.8</c:v>
                </c:pt>
                <c:pt idx="910">
                  <c:v>19.8</c:v>
                </c:pt>
                <c:pt idx="911">
                  <c:v>19.8</c:v>
                </c:pt>
                <c:pt idx="912">
                  <c:v>19.7</c:v>
                </c:pt>
                <c:pt idx="913">
                  <c:v>19.7</c:v>
                </c:pt>
                <c:pt idx="914">
                  <c:v>19.7</c:v>
                </c:pt>
                <c:pt idx="915">
                  <c:v>19.7</c:v>
                </c:pt>
                <c:pt idx="916">
                  <c:v>19.600000000000001</c:v>
                </c:pt>
                <c:pt idx="917">
                  <c:v>19.600000000000001</c:v>
                </c:pt>
                <c:pt idx="918">
                  <c:v>19.600000000000001</c:v>
                </c:pt>
                <c:pt idx="919">
                  <c:v>19.600000000000001</c:v>
                </c:pt>
                <c:pt idx="920">
                  <c:v>19.5</c:v>
                </c:pt>
                <c:pt idx="921">
                  <c:v>19.5</c:v>
                </c:pt>
                <c:pt idx="922">
                  <c:v>19.5</c:v>
                </c:pt>
                <c:pt idx="923">
                  <c:v>19.5</c:v>
                </c:pt>
                <c:pt idx="924">
                  <c:v>19.5</c:v>
                </c:pt>
                <c:pt idx="925">
                  <c:v>19.399999999999999</c:v>
                </c:pt>
                <c:pt idx="926">
                  <c:v>19.399999999999999</c:v>
                </c:pt>
                <c:pt idx="927">
                  <c:v>19.399999999999999</c:v>
                </c:pt>
                <c:pt idx="928">
                  <c:v>19.399999999999999</c:v>
                </c:pt>
                <c:pt idx="929">
                  <c:v>19.399999999999999</c:v>
                </c:pt>
                <c:pt idx="930">
                  <c:v>19.3</c:v>
                </c:pt>
                <c:pt idx="931">
                  <c:v>19.3</c:v>
                </c:pt>
                <c:pt idx="932">
                  <c:v>19.3</c:v>
                </c:pt>
                <c:pt idx="933">
                  <c:v>19.3</c:v>
                </c:pt>
                <c:pt idx="934">
                  <c:v>19.3</c:v>
                </c:pt>
                <c:pt idx="935">
                  <c:v>19.3</c:v>
                </c:pt>
                <c:pt idx="936">
                  <c:v>19.3</c:v>
                </c:pt>
                <c:pt idx="937">
                  <c:v>19.3</c:v>
                </c:pt>
                <c:pt idx="938">
                  <c:v>19.2</c:v>
                </c:pt>
                <c:pt idx="939">
                  <c:v>19.2</c:v>
                </c:pt>
                <c:pt idx="940">
                  <c:v>19.2</c:v>
                </c:pt>
                <c:pt idx="941">
                  <c:v>19.2</c:v>
                </c:pt>
                <c:pt idx="942">
                  <c:v>19.2</c:v>
                </c:pt>
                <c:pt idx="943">
                  <c:v>19.2</c:v>
                </c:pt>
                <c:pt idx="944">
                  <c:v>19.2</c:v>
                </c:pt>
                <c:pt idx="945">
                  <c:v>19.2</c:v>
                </c:pt>
                <c:pt idx="946">
                  <c:v>19.2</c:v>
                </c:pt>
                <c:pt idx="947">
                  <c:v>19.2</c:v>
                </c:pt>
                <c:pt idx="948">
                  <c:v>19.2</c:v>
                </c:pt>
                <c:pt idx="949">
                  <c:v>19.2</c:v>
                </c:pt>
                <c:pt idx="950">
                  <c:v>19.2</c:v>
                </c:pt>
                <c:pt idx="951">
                  <c:v>19.2</c:v>
                </c:pt>
                <c:pt idx="952">
                  <c:v>19.2</c:v>
                </c:pt>
                <c:pt idx="953">
                  <c:v>19.100000000000001</c:v>
                </c:pt>
                <c:pt idx="954">
                  <c:v>19.100000000000001</c:v>
                </c:pt>
                <c:pt idx="955">
                  <c:v>19.100000000000001</c:v>
                </c:pt>
                <c:pt idx="956">
                  <c:v>19.100000000000001</c:v>
                </c:pt>
                <c:pt idx="957">
                  <c:v>19.100000000000001</c:v>
                </c:pt>
                <c:pt idx="958">
                  <c:v>19.2</c:v>
                </c:pt>
                <c:pt idx="959">
                  <c:v>19.2</c:v>
                </c:pt>
                <c:pt idx="960">
                  <c:v>19.2</c:v>
                </c:pt>
                <c:pt idx="961">
                  <c:v>19.2</c:v>
                </c:pt>
                <c:pt idx="962">
                  <c:v>19.2</c:v>
                </c:pt>
                <c:pt idx="963">
                  <c:v>19.2</c:v>
                </c:pt>
                <c:pt idx="964">
                  <c:v>19.2</c:v>
                </c:pt>
                <c:pt idx="965">
                  <c:v>19.2</c:v>
                </c:pt>
                <c:pt idx="966">
                  <c:v>19.2</c:v>
                </c:pt>
                <c:pt idx="967">
                  <c:v>19.2</c:v>
                </c:pt>
                <c:pt idx="968">
                  <c:v>19.2</c:v>
                </c:pt>
                <c:pt idx="969">
                  <c:v>19.2</c:v>
                </c:pt>
                <c:pt idx="970">
                  <c:v>19.2</c:v>
                </c:pt>
                <c:pt idx="971">
                  <c:v>19.2</c:v>
                </c:pt>
                <c:pt idx="972">
                  <c:v>19.2</c:v>
                </c:pt>
                <c:pt idx="973">
                  <c:v>19.3</c:v>
                </c:pt>
                <c:pt idx="974">
                  <c:v>19.3</c:v>
                </c:pt>
                <c:pt idx="975">
                  <c:v>19.3</c:v>
                </c:pt>
                <c:pt idx="976">
                  <c:v>19.3</c:v>
                </c:pt>
                <c:pt idx="977">
                  <c:v>19.3</c:v>
                </c:pt>
                <c:pt idx="978">
                  <c:v>19.3</c:v>
                </c:pt>
                <c:pt idx="979">
                  <c:v>19.3</c:v>
                </c:pt>
                <c:pt idx="980">
                  <c:v>19.399999999999999</c:v>
                </c:pt>
                <c:pt idx="981">
                  <c:v>19.399999999999999</c:v>
                </c:pt>
                <c:pt idx="982">
                  <c:v>19.399999999999999</c:v>
                </c:pt>
                <c:pt idx="983">
                  <c:v>19.399999999999999</c:v>
                </c:pt>
                <c:pt idx="984">
                  <c:v>19.399999999999999</c:v>
                </c:pt>
                <c:pt idx="985">
                  <c:v>19.5</c:v>
                </c:pt>
                <c:pt idx="986">
                  <c:v>19.5</c:v>
                </c:pt>
                <c:pt idx="987">
                  <c:v>19.5</c:v>
                </c:pt>
                <c:pt idx="988">
                  <c:v>19.5</c:v>
                </c:pt>
                <c:pt idx="989">
                  <c:v>19.600000000000001</c:v>
                </c:pt>
                <c:pt idx="990">
                  <c:v>19.600000000000001</c:v>
                </c:pt>
                <c:pt idx="991">
                  <c:v>19.600000000000001</c:v>
                </c:pt>
                <c:pt idx="992">
                  <c:v>19.600000000000001</c:v>
                </c:pt>
                <c:pt idx="993">
                  <c:v>19.7</c:v>
                </c:pt>
                <c:pt idx="994">
                  <c:v>19.7</c:v>
                </c:pt>
                <c:pt idx="995">
                  <c:v>19.7</c:v>
                </c:pt>
                <c:pt idx="996">
                  <c:v>19.8</c:v>
                </c:pt>
                <c:pt idx="997">
                  <c:v>19.8</c:v>
                </c:pt>
                <c:pt idx="998">
                  <c:v>19.8</c:v>
                </c:pt>
                <c:pt idx="999">
                  <c:v>19.899999999999999</c:v>
                </c:pt>
                <c:pt idx="1000">
                  <c:v>19.899999999999999</c:v>
                </c:pt>
                <c:pt idx="1001">
                  <c:v>19.899999999999999</c:v>
                </c:pt>
                <c:pt idx="1002">
                  <c:v>20</c:v>
                </c:pt>
                <c:pt idx="1003">
                  <c:v>20</c:v>
                </c:pt>
                <c:pt idx="1004">
                  <c:v>20.100000000000001</c:v>
                </c:pt>
                <c:pt idx="1005">
                  <c:v>20.100000000000001</c:v>
                </c:pt>
                <c:pt idx="1006">
                  <c:v>20.100000000000001</c:v>
                </c:pt>
                <c:pt idx="1007">
                  <c:v>20.2</c:v>
                </c:pt>
                <c:pt idx="1008">
                  <c:v>20.2</c:v>
                </c:pt>
                <c:pt idx="1009">
                  <c:v>20.3</c:v>
                </c:pt>
                <c:pt idx="1010">
                  <c:v>20.3</c:v>
                </c:pt>
                <c:pt idx="1011">
                  <c:v>20.399999999999999</c:v>
                </c:pt>
                <c:pt idx="1012">
                  <c:v>20.399999999999999</c:v>
                </c:pt>
                <c:pt idx="1013">
                  <c:v>20.5</c:v>
                </c:pt>
                <c:pt idx="1014">
                  <c:v>20.5</c:v>
                </c:pt>
                <c:pt idx="1015">
                  <c:v>20.6</c:v>
                </c:pt>
                <c:pt idx="1016">
                  <c:v>20.6</c:v>
                </c:pt>
                <c:pt idx="1017">
                  <c:v>20.7</c:v>
                </c:pt>
                <c:pt idx="1018">
                  <c:v>20.8</c:v>
                </c:pt>
                <c:pt idx="1019">
                  <c:v>20.8</c:v>
                </c:pt>
                <c:pt idx="1020">
                  <c:v>20.9</c:v>
                </c:pt>
                <c:pt idx="1021">
                  <c:v>21</c:v>
                </c:pt>
                <c:pt idx="1022">
                  <c:v>21</c:v>
                </c:pt>
                <c:pt idx="1023">
                  <c:v>21.1</c:v>
                </c:pt>
                <c:pt idx="1024">
                  <c:v>21.2</c:v>
                </c:pt>
                <c:pt idx="1025">
                  <c:v>21.2</c:v>
                </c:pt>
                <c:pt idx="1026">
                  <c:v>21.3</c:v>
                </c:pt>
                <c:pt idx="1027">
                  <c:v>21.4</c:v>
                </c:pt>
                <c:pt idx="1028">
                  <c:v>21.4</c:v>
                </c:pt>
                <c:pt idx="1029">
                  <c:v>21.5</c:v>
                </c:pt>
                <c:pt idx="1030">
                  <c:v>21.6</c:v>
                </c:pt>
                <c:pt idx="1031">
                  <c:v>21.7</c:v>
                </c:pt>
                <c:pt idx="1032">
                  <c:v>21.8</c:v>
                </c:pt>
                <c:pt idx="1033">
                  <c:v>21.9</c:v>
                </c:pt>
                <c:pt idx="1034">
                  <c:v>21.9</c:v>
                </c:pt>
                <c:pt idx="1035">
                  <c:v>22</c:v>
                </c:pt>
                <c:pt idx="1036">
                  <c:v>22.1</c:v>
                </c:pt>
                <c:pt idx="1037">
                  <c:v>22.2</c:v>
                </c:pt>
                <c:pt idx="1038">
                  <c:v>22.3</c:v>
                </c:pt>
                <c:pt idx="1039">
                  <c:v>22.4</c:v>
                </c:pt>
                <c:pt idx="1040">
                  <c:v>22.5</c:v>
                </c:pt>
                <c:pt idx="1041">
                  <c:v>22.6</c:v>
                </c:pt>
                <c:pt idx="1042">
                  <c:v>22.7</c:v>
                </c:pt>
                <c:pt idx="1043">
                  <c:v>22.8</c:v>
                </c:pt>
                <c:pt idx="1044">
                  <c:v>22.9</c:v>
                </c:pt>
                <c:pt idx="1045">
                  <c:v>23.1</c:v>
                </c:pt>
                <c:pt idx="1046">
                  <c:v>23.2</c:v>
                </c:pt>
                <c:pt idx="1047">
                  <c:v>23.3</c:v>
                </c:pt>
                <c:pt idx="1048">
                  <c:v>23.4</c:v>
                </c:pt>
                <c:pt idx="1049">
                  <c:v>23.6</c:v>
                </c:pt>
                <c:pt idx="1050">
                  <c:v>23.7</c:v>
                </c:pt>
                <c:pt idx="1051">
                  <c:v>23.8</c:v>
                </c:pt>
                <c:pt idx="1052">
                  <c:v>24</c:v>
                </c:pt>
                <c:pt idx="1053">
                  <c:v>24.1</c:v>
                </c:pt>
                <c:pt idx="1054">
                  <c:v>24.2</c:v>
                </c:pt>
                <c:pt idx="1055">
                  <c:v>24.4</c:v>
                </c:pt>
                <c:pt idx="1056">
                  <c:v>24.5</c:v>
                </c:pt>
                <c:pt idx="1057">
                  <c:v>24.7</c:v>
                </c:pt>
                <c:pt idx="1058">
                  <c:v>24.9</c:v>
                </c:pt>
                <c:pt idx="1059">
                  <c:v>25</c:v>
                </c:pt>
                <c:pt idx="1060">
                  <c:v>25.2</c:v>
                </c:pt>
                <c:pt idx="1061">
                  <c:v>25.4</c:v>
                </c:pt>
                <c:pt idx="1062">
                  <c:v>25.5</c:v>
                </c:pt>
                <c:pt idx="1063">
                  <c:v>25.7</c:v>
                </c:pt>
                <c:pt idx="1064">
                  <c:v>25.9</c:v>
                </c:pt>
                <c:pt idx="1065">
                  <c:v>26.1</c:v>
                </c:pt>
                <c:pt idx="1066">
                  <c:v>26.3</c:v>
                </c:pt>
                <c:pt idx="1067">
                  <c:v>26.5</c:v>
                </c:pt>
                <c:pt idx="1068">
                  <c:v>26.7</c:v>
                </c:pt>
                <c:pt idx="1069">
                  <c:v>26.9</c:v>
                </c:pt>
                <c:pt idx="1070">
                  <c:v>27.2</c:v>
                </c:pt>
                <c:pt idx="1071">
                  <c:v>27.4</c:v>
                </c:pt>
                <c:pt idx="1072">
                  <c:v>27.6</c:v>
                </c:pt>
                <c:pt idx="1073">
                  <c:v>27.9</c:v>
                </c:pt>
                <c:pt idx="1074">
                  <c:v>28.1</c:v>
                </c:pt>
                <c:pt idx="1075">
                  <c:v>28.4</c:v>
                </c:pt>
                <c:pt idx="1076">
                  <c:v>28.6</c:v>
                </c:pt>
                <c:pt idx="1077">
                  <c:v>28.9</c:v>
                </c:pt>
                <c:pt idx="1078">
                  <c:v>29.2</c:v>
                </c:pt>
                <c:pt idx="1079">
                  <c:v>29.4</c:v>
                </c:pt>
                <c:pt idx="1080">
                  <c:v>29.7</c:v>
                </c:pt>
                <c:pt idx="1081">
                  <c:v>30</c:v>
                </c:pt>
                <c:pt idx="1082">
                  <c:v>30.4</c:v>
                </c:pt>
                <c:pt idx="1083">
                  <c:v>30.7</c:v>
                </c:pt>
                <c:pt idx="1084">
                  <c:v>31</c:v>
                </c:pt>
                <c:pt idx="1085">
                  <c:v>31.4</c:v>
                </c:pt>
                <c:pt idx="1086">
                  <c:v>31.7</c:v>
                </c:pt>
                <c:pt idx="1087">
                  <c:v>32.1</c:v>
                </c:pt>
                <c:pt idx="1088">
                  <c:v>32.5</c:v>
                </c:pt>
                <c:pt idx="1089">
                  <c:v>32.799999999999997</c:v>
                </c:pt>
                <c:pt idx="1090">
                  <c:v>33.200000000000003</c:v>
                </c:pt>
                <c:pt idx="1091">
                  <c:v>33.700000000000003</c:v>
                </c:pt>
                <c:pt idx="1092">
                  <c:v>34.1</c:v>
                </c:pt>
                <c:pt idx="1093">
                  <c:v>34.5</c:v>
                </c:pt>
                <c:pt idx="1094">
                  <c:v>35</c:v>
                </c:pt>
                <c:pt idx="1095">
                  <c:v>35.5</c:v>
                </c:pt>
                <c:pt idx="1096">
                  <c:v>36</c:v>
                </c:pt>
                <c:pt idx="1097">
                  <c:v>36.5</c:v>
                </c:pt>
                <c:pt idx="1098">
                  <c:v>37</c:v>
                </c:pt>
                <c:pt idx="1099">
                  <c:v>37.5</c:v>
                </c:pt>
                <c:pt idx="1100">
                  <c:v>38.1</c:v>
                </c:pt>
                <c:pt idx="1101">
                  <c:v>38.700000000000003</c:v>
                </c:pt>
                <c:pt idx="1102">
                  <c:v>39.299999999999997</c:v>
                </c:pt>
                <c:pt idx="1103">
                  <c:v>39.9</c:v>
                </c:pt>
                <c:pt idx="1104">
                  <c:v>40.6</c:v>
                </c:pt>
                <c:pt idx="1105">
                  <c:v>41.2</c:v>
                </c:pt>
                <c:pt idx="1106">
                  <c:v>42</c:v>
                </c:pt>
                <c:pt idx="1107">
                  <c:v>42.7</c:v>
                </c:pt>
                <c:pt idx="1108">
                  <c:v>43.4</c:v>
                </c:pt>
                <c:pt idx="1109">
                  <c:v>44.2</c:v>
                </c:pt>
                <c:pt idx="1110">
                  <c:v>45.1</c:v>
                </c:pt>
                <c:pt idx="1111">
                  <c:v>45.9</c:v>
                </c:pt>
                <c:pt idx="1112">
                  <c:v>46.8</c:v>
                </c:pt>
                <c:pt idx="1113">
                  <c:v>47.7</c:v>
                </c:pt>
                <c:pt idx="1114">
                  <c:v>48.7</c:v>
                </c:pt>
                <c:pt idx="1115">
                  <c:v>49.7</c:v>
                </c:pt>
                <c:pt idx="1116">
                  <c:v>50.7</c:v>
                </c:pt>
                <c:pt idx="1117">
                  <c:v>51.8</c:v>
                </c:pt>
                <c:pt idx="1118">
                  <c:v>53</c:v>
                </c:pt>
                <c:pt idx="1119">
                  <c:v>54.2</c:v>
                </c:pt>
                <c:pt idx="1120">
                  <c:v>55.4</c:v>
                </c:pt>
                <c:pt idx="1121">
                  <c:v>56.7</c:v>
                </c:pt>
                <c:pt idx="1122">
                  <c:v>58.1</c:v>
                </c:pt>
                <c:pt idx="1123">
                  <c:v>59.5</c:v>
                </c:pt>
                <c:pt idx="1124">
                  <c:v>61</c:v>
                </c:pt>
                <c:pt idx="1125">
                  <c:v>62.5</c:v>
                </c:pt>
                <c:pt idx="1126">
                  <c:v>64.2</c:v>
                </c:pt>
                <c:pt idx="1127">
                  <c:v>65.900000000000006</c:v>
                </c:pt>
                <c:pt idx="1128">
                  <c:v>67.7</c:v>
                </c:pt>
                <c:pt idx="1129">
                  <c:v>69.599999999999994</c:v>
                </c:pt>
                <c:pt idx="1130">
                  <c:v>71.5</c:v>
                </c:pt>
                <c:pt idx="1131">
                  <c:v>73.599999999999994</c:v>
                </c:pt>
                <c:pt idx="1132">
                  <c:v>75.8</c:v>
                </c:pt>
                <c:pt idx="1133">
                  <c:v>78.099999999999994</c:v>
                </c:pt>
                <c:pt idx="1134">
                  <c:v>80.5</c:v>
                </c:pt>
                <c:pt idx="1135">
                  <c:v>83</c:v>
                </c:pt>
                <c:pt idx="1136">
                  <c:v>85.7</c:v>
                </c:pt>
                <c:pt idx="1137">
                  <c:v>88.5</c:v>
                </c:pt>
                <c:pt idx="1138">
                  <c:v>91.5</c:v>
                </c:pt>
                <c:pt idx="1139">
                  <c:v>94.6</c:v>
                </c:pt>
                <c:pt idx="1140">
                  <c:v>97.9</c:v>
                </c:pt>
                <c:pt idx="1141">
                  <c:v>101.4</c:v>
                </c:pt>
                <c:pt idx="1142">
                  <c:v>105.1</c:v>
                </c:pt>
                <c:pt idx="1143">
                  <c:v>108.9</c:v>
                </c:pt>
                <c:pt idx="1144">
                  <c:v>113</c:v>
                </c:pt>
                <c:pt idx="1145">
                  <c:v>117.3</c:v>
                </c:pt>
                <c:pt idx="1146">
                  <c:v>121.8</c:v>
                </c:pt>
                <c:pt idx="1147">
                  <c:v>126.5</c:v>
                </c:pt>
                <c:pt idx="1148">
                  <c:v>131.5</c:v>
                </c:pt>
                <c:pt idx="1149">
                  <c:v>136.80000000000001</c:v>
                </c:pt>
                <c:pt idx="1150">
                  <c:v>142.30000000000001</c:v>
                </c:pt>
                <c:pt idx="1151">
                  <c:v>148</c:v>
                </c:pt>
                <c:pt idx="1152">
                  <c:v>154.1</c:v>
                </c:pt>
                <c:pt idx="1153">
                  <c:v>160.30000000000001</c:v>
                </c:pt>
                <c:pt idx="1154">
                  <c:v>166.8</c:v>
                </c:pt>
                <c:pt idx="1155">
                  <c:v>173.5</c:v>
                </c:pt>
                <c:pt idx="1156">
                  <c:v>180.4</c:v>
                </c:pt>
                <c:pt idx="1157">
                  <c:v>187.5</c:v>
                </c:pt>
                <c:pt idx="1158">
                  <c:v>194.7</c:v>
                </c:pt>
                <c:pt idx="1159">
                  <c:v>201.8</c:v>
                </c:pt>
                <c:pt idx="1160">
                  <c:v>209</c:v>
                </c:pt>
                <c:pt idx="1161">
                  <c:v>216</c:v>
                </c:pt>
                <c:pt idx="1162">
                  <c:v>222.8</c:v>
                </c:pt>
                <c:pt idx="1163">
                  <c:v>229.2</c:v>
                </c:pt>
                <c:pt idx="1164">
                  <c:v>235.2</c:v>
                </c:pt>
                <c:pt idx="1165">
                  <c:v>240.5</c:v>
                </c:pt>
                <c:pt idx="1166">
                  <c:v>245.2</c:v>
                </c:pt>
                <c:pt idx="1167">
                  <c:v>249.2</c:v>
                </c:pt>
                <c:pt idx="1168">
                  <c:v>252.4</c:v>
                </c:pt>
                <c:pt idx="1169">
                  <c:v>254.9</c:v>
                </c:pt>
                <c:pt idx="1170">
                  <c:v>256.7</c:v>
                </c:pt>
                <c:pt idx="1171">
                  <c:v>258</c:v>
                </c:pt>
                <c:pt idx="1172">
                  <c:v>259</c:v>
                </c:pt>
                <c:pt idx="1173">
                  <c:v>259.60000000000002</c:v>
                </c:pt>
                <c:pt idx="1174">
                  <c:v>260.10000000000002</c:v>
                </c:pt>
                <c:pt idx="1175">
                  <c:v>260.5</c:v>
                </c:pt>
                <c:pt idx="1176">
                  <c:v>260.7</c:v>
                </c:pt>
                <c:pt idx="1177">
                  <c:v>260.8</c:v>
                </c:pt>
                <c:pt idx="1178">
                  <c:v>260.8</c:v>
                </c:pt>
                <c:pt idx="1179">
                  <c:v>260.7</c:v>
                </c:pt>
                <c:pt idx="1180">
                  <c:v>260.5</c:v>
                </c:pt>
                <c:pt idx="1181">
                  <c:v>260.10000000000002</c:v>
                </c:pt>
                <c:pt idx="1182">
                  <c:v>259.7</c:v>
                </c:pt>
                <c:pt idx="1183">
                  <c:v>259</c:v>
                </c:pt>
                <c:pt idx="1184">
                  <c:v>258.10000000000002</c:v>
                </c:pt>
                <c:pt idx="1185">
                  <c:v>256.8</c:v>
                </c:pt>
                <c:pt idx="1186">
                  <c:v>255</c:v>
                </c:pt>
                <c:pt idx="1187">
                  <c:v>252.5</c:v>
                </c:pt>
                <c:pt idx="1188">
                  <c:v>249.3</c:v>
                </c:pt>
                <c:pt idx="1189">
                  <c:v>245.4</c:v>
                </c:pt>
                <c:pt idx="1190">
                  <c:v>240.8</c:v>
                </c:pt>
              </c:numCache>
            </c:numRef>
          </c:yVal>
          <c:smooth val="1"/>
          <c:extLst>
            <c:ext xmlns:c16="http://schemas.microsoft.com/office/drawing/2014/chart" uri="{C3380CC4-5D6E-409C-BE32-E72D297353CC}">
              <c16:uniqueId val="{00000000-D0C2-4062-87FE-5E1C210436C2}"/>
            </c:ext>
          </c:extLst>
        </c:ser>
        <c:ser>
          <c:idx val="4"/>
          <c:order val="1"/>
          <c:tx>
            <c:strRef>
              <c:f>Tatm!$L$5</c:f>
              <c:strCache>
                <c:ptCount val="1"/>
                <c:pt idx="0">
                  <c:v>6</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Tatm!$L$6:$L$1196</c:f>
              <c:numCache>
                <c:formatCode>General</c:formatCode>
                <c:ptCount val="1191"/>
                <c:pt idx="0">
                  <c:v>5</c:v>
                </c:pt>
                <c:pt idx="1">
                  <c:v>5.0999999999999996</c:v>
                </c:pt>
                <c:pt idx="2">
                  <c:v>5.0999999999999996</c:v>
                </c:pt>
                <c:pt idx="3">
                  <c:v>5.0999999999999996</c:v>
                </c:pt>
                <c:pt idx="4">
                  <c:v>5.2</c:v>
                </c:pt>
                <c:pt idx="5">
                  <c:v>5.2</c:v>
                </c:pt>
                <c:pt idx="6">
                  <c:v>5.2</c:v>
                </c:pt>
                <c:pt idx="7">
                  <c:v>5.2</c:v>
                </c:pt>
                <c:pt idx="8">
                  <c:v>5.2</c:v>
                </c:pt>
                <c:pt idx="9">
                  <c:v>5.2</c:v>
                </c:pt>
                <c:pt idx="10">
                  <c:v>5.2</c:v>
                </c:pt>
                <c:pt idx="11">
                  <c:v>5.2</c:v>
                </c:pt>
                <c:pt idx="12">
                  <c:v>5.3</c:v>
                </c:pt>
                <c:pt idx="13">
                  <c:v>5.3</c:v>
                </c:pt>
                <c:pt idx="14">
                  <c:v>5.3</c:v>
                </c:pt>
                <c:pt idx="15">
                  <c:v>5.3</c:v>
                </c:pt>
                <c:pt idx="16">
                  <c:v>5.3</c:v>
                </c:pt>
                <c:pt idx="17">
                  <c:v>5.3</c:v>
                </c:pt>
                <c:pt idx="18">
                  <c:v>5.3</c:v>
                </c:pt>
                <c:pt idx="19">
                  <c:v>5.3</c:v>
                </c:pt>
                <c:pt idx="20">
                  <c:v>5.3</c:v>
                </c:pt>
                <c:pt idx="21">
                  <c:v>5.3</c:v>
                </c:pt>
                <c:pt idx="22">
                  <c:v>5.3</c:v>
                </c:pt>
                <c:pt idx="23">
                  <c:v>5.3</c:v>
                </c:pt>
                <c:pt idx="24">
                  <c:v>5.3</c:v>
                </c:pt>
                <c:pt idx="25">
                  <c:v>5.3</c:v>
                </c:pt>
                <c:pt idx="26">
                  <c:v>5.3</c:v>
                </c:pt>
                <c:pt idx="27">
                  <c:v>5.3</c:v>
                </c:pt>
                <c:pt idx="28">
                  <c:v>5.4</c:v>
                </c:pt>
                <c:pt idx="29">
                  <c:v>5.4</c:v>
                </c:pt>
                <c:pt idx="30">
                  <c:v>5.4</c:v>
                </c:pt>
                <c:pt idx="31">
                  <c:v>5.4</c:v>
                </c:pt>
                <c:pt idx="32">
                  <c:v>5.4</c:v>
                </c:pt>
                <c:pt idx="33">
                  <c:v>5.4</c:v>
                </c:pt>
                <c:pt idx="34">
                  <c:v>5.4</c:v>
                </c:pt>
                <c:pt idx="35">
                  <c:v>5.4</c:v>
                </c:pt>
                <c:pt idx="36">
                  <c:v>5.4</c:v>
                </c:pt>
                <c:pt idx="37">
                  <c:v>5.4</c:v>
                </c:pt>
                <c:pt idx="38">
                  <c:v>5.4</c:v>
                </c:pt>
                <c:pt idx="39">
                  <c:v>5.4</c:v>
                </c:pt>
                <c:pt idx="40">
                  <c:v>5.4</c:v>
                </c:pt>
                <c:pt idx="41">
                  <c:v>5.4</c:v>
                </c:pt>
                <c:pt idx="42">
                  <c:v>5.4</c:v>
                </c:pt>
                <c:pt idx="43">
                  <c:v>5.5</c:v>
                </c:pt>
                <c:pt idx="44">
                  <c:v>5.5</c:v>
                </c:pt>
                <c:pt idx="45">
                  <c:v>5.5</c:v>
                </c:pt>
                <c:pt idx="46">
                  <c:v>5.5</c:v>
                </c:pt>
                <c:pt idx="47">
                  <c:v>5.5</c:v>
                </c:pt>
                <c:pt idx="48">
                  <c:v>5.5</c:v>
                </c:pt>
                <c:pt idx="49">
                  <c:v>5.5</c:v>
                </c:pt>
                <c:pt idx="50">
                  <c:v>5.5</c:v>
                </c:pt>
                <c:pt idx="51">
                  <c:v>5.5</c:v>
                </c:pt>
                <c:pt idx="52">
                  <c:v>5.5</c:v>
                </c:pt>
                <c:pt idx="53">
                  <c:v>5.5</c:v>
                </c:pt>
                <c:pt idx="54">
                  <c:v>5.5</c:v>
                </c:pt>
                <c:pt idx="55">
                  <c:v>5.5</c:v>
                </c:pt>
                <c:pt idx="56">
                  <c:v>5.6</c:v>
                </c:pt>
                <c:pt idx="57">
                  <c:v>5.6</c:v>
                </c:pt>
                <c:pt idx="58">
                  <c:v>5.6</c:v>
                </c:pt>
                <c:pt idx="59">
                  <c:v>5.6</c:v>
                </c:pt>
                <c:pt idx="60">
                  <c:v>5.6</c:v>
                </c:pt>
                <c:pt idx="61">
                  <c:v>5.6</c:v>
                </c:pt>
                <c:pt idx="62">
                  <c:v>5.6</c:v>
                </c:pt>
                <c:pt idx="63">
                  <c:v>5.6</c:v>
                </c:pt>
                <c:pt idx="64">
                  <c:v>5.6</c:v>
                </c:pt>
                <c:pt idx="65">
                  <c:v>5.6</c:v>
                </c:pt>
                <c:pt idx="66">
                  <c:v>5.7</c:v>
                </c:pt>
                <c:pt idx="67">
                  <c:v>5.7</c:v>
                </c:pt>
                <c:pt idx="68">
                  <c:v>5.7</c:v>
                </c:pt>
                <c:pt idx="69">
                  <c:v>5.7</c:v>
                </c:pt>
                <c:pt idx="70">
                  <c:v>5.7</c:v>
                </c:pt>
                <c:pt idx="71">
                  <c:v>5.7</c:v>
                </c:pt>
                <c:pt idx="72">
                  <c:v>5.7</c:v>
                </c:pt>
                <c:pt idx="73">
                  <c:v>5.7</c:v>
                </c:pt>
                <c:pt idx="74">
                  <c:v>5.7</c:v>
                </c:pt>
                <c:pt idx="75">
                  <c:v>5.8</c:v>
                </c:pt>
                <c:pt idx="76">
                  <c:v>5.8</c:v>
                </c:pt>
                <c:pt idx="77">
                  <c:v>5.8</c:v>
                </c:pt>
                <c:pt idx="78">
                  <c:v>5.8</c:v>
                </c:pt>
                <c:pt idx="79">
                  <c:v>5.8</c:v>
                </c:pt>
                <c:pt idx="80">
                  <c:v>5.8</c:v>
                </c:pt>
                <c:pt idx="81">
                  <c:v>5.8</c:v>
                </c:pt>
                <c:pt idx="82">
                  <c:v>5.9</c:v>
                </c:pt>
                <c:pt idx="83">
                  <c:v>5.9</c:v>
                </c:pt>
                <c:pt idx="84">
                  <c:v>5.9</c:v>
                </c:pt>
                <c:pt idx="85">
                  <c:v>5.9</c:v>
                </c:pt>
                <c:pt idx="86">
                  <c:v>5.9</c:v>
                </c:pt>
                <c:pt idx="87">
                  <c:v>5.9</c:v>
                </c:pt>
                <c:pt idx="88">
                  <c:v>5.9</c:v>
                </c:pt>
                <c:pt idx="89">
                  <c:v>6</c:v>
                </c:pt>
                <c:pt idx="90">
                  <c:v>6</c:v>
                </c:pt>
                <c:pt idx="91">
                  <c:v>6</c:v>
                </c:pt>
                <c:pt idx="92">
                  <c:v>6</c:v>
                </c:pt>
                <c:pt idx="93">
                  <c:v>6</c:v>
                </c:pt>
                <c:pt idx="94">
                  <c:v>6</c:v>
                </c:pt>
                <c:pt idx="95">
                  <c:v>6.1</c:v>
                </c:pt>
                <c:pt idx="96">
                  <c:v>6.1</c:v>
                </c:pt>
                <c:pt idx="97">
                  <c:v>6.1</c:v>
                </c:pt>
                <c:pt idx="98">
                  <c:v>6.1</c:v>
                </c:pt>
                <c:pt idx="99">
                  <c:v>6.1</c:v>
                </c:pt>
                <c:pt idx="100">
                  <c:v>6.1</c:v>
                </c:pt>
                <c:pt idx="101">
                  <c:v>6.2</c:v>
                </c:pt>
                <c:pt idx="102">
                  <c:v>6.2</c:v>
                </c:pt>
                <c:pt idx="103">
                  <c:v>6.2</c:v>
                </c:pt>
                <c:pt idx="104">
                  <c:v>6.2</c:v>
                </c:pt>
                <c:pt idx="105">
                  <c:v>6.2</c:v>
                </c:pt>
                <c:pt idx="106">
                  <c:v>6.3</c:v>
                </c:pt>
                <c:pt idx="107">
                  <c:v>6.3</c:v>
                </c:pt>
                <c:pt idx="108">
                  <c:v>6.3</c:v>
                </c:pt>
                <c:pt idx="109">
                  <c:v>6.3</c:v>
                </c:pt>
                <c:pt idx="110">
                  <c:v>6.4</c:v>
                </c:pt>
                <c:pt idx="111">
                  <c:v>6.4</c:v>
                </c:pt>
                <c:pt idx="112">
                  <c:v>6.4</c:v>
                </c:pt>
                <c:pt idx="113">
                  <c:v>6.4</c:v>
                </c:pt>
                <c:pt idx="114">
                  <c:v>6.5</c:v>
                </c:pt>
                <c:pt idx="115">
                  <c:v>6.5</c:v>
                </c:pt>
                <c:pt idx="116">
                  <c:v>6.5</c:v>
                </c:pt>
                <c:pt idx="117">
                  <c:v>6.5</c:v>
                </c:pt>
                <c:pt idx="118">
                  <c:v>6.6</c:v>
                </c:pt>
                <c:pt idx="119">
                  <c:v>6.6</c:v>
                </c:pt>
                <c:pt idx="120">
                  <c:v>6.6</c:v>
                </c:pt>
                <c:pt idx="121">
                  <c:v>6.6</c:v>
                </c:pt>
                <c:pt idx="122">
                  <c:v>6.7</c:v>
                </c:pt>
                <c:pt idx="123">
                  <c:v>6.7</c:v>
                </c:pt>
                <c:pt idx="124">
                  <c:v>6.7</c:v>
                </c:pt>
                <c:pt idx="125">
                  <c:v>6.8</c:v>
                </c:pt>
                <c:pt idx="126">
                  <c:v>6.8</c:v>
                </c:pt>
                <c:pt idx="127">
                  <c:v>6.8</c:v>
                </c:pt>
                <c:pt idx="128">
                  <c:v>6.9</c:v>
                </c:pt>
                <c:pt idx="129">
                  <c:v>6.9</c:v>
                </c:pt>
                <c:pt idx="130">
                  <c:v>6.9</c:v>
                </c:pt>
                <c:pt idx="131">
                  <c:v>7</c:v>
                </c:pt>
                <c:pt idx="132">
                  <c:v>7</c:v>
                </c:pt>
                <c:pt idx="133">
                  <c:v>7</c:v>
                </c:pt>
                <c:pt idx="134">
                  <c:v>7.1</c:v>
                </c:pt>
                <c:pt idx="135">
                  <c:v>7.1</c:v>
                </c:pt>
                <c:pt idx="136">
                  <c:v>7.2</c:v>
                </c:pt>
                <c:pt idx="137">
                  <c:v>7.2</c:v>
                </c:pt>
                <c:pt idx="138">
                  <c:v>7.2</c:v>
                </c:pt>
                <c:pt idx="139">
                  <c:v>7.3</c:v>
                </c:pt>
                <c:pt idx="140">
                  <c:v>7.3</c:v>
                </c:pt>
                <c:pt idx="141">
                  <c:v>7.4</c:v>
                </c:pt>
                <c:pt idx="142">
                  <c:v>7.4</c:v>
                </c:pt>
                <c:pt idx="143">
                  <c:v>7.5</c:v>
                </c:pt>
                <c:pt idx="144">
                  <c:v>7.5</c:v>
                </c:pt>
                <c:pt idx="145">
                  <c:v>7.6</c:v>
                </c:pt>
                <c:pt idx="146">
                  <c:v>7.6</c:v>
                </c:pt>
                <c:pt idx="147">
                  <c:v>7.7</c:v>
                </c:pt>
                <c:pt idx="148">
                  <c:v>7.8</c:v>
                </c:pt>
                <c:pt idx="149">
                  <c:v>7.8</c:v>
                </c:pt>
                <c:pt idx="150">
                  <c:v>7.9</c:v>
                </c:pt>
                <c:pt idx="151">
                  <c:v>8</c:v>
                </c:pt>
                <c:pt idx="152">
                  <c:v>8</c:v>
                </c:pt>
                <c:pt idx="153">
                  <c:v>8.1</c:v>
                </c:pt>
                <c:pt idx="154">
                  <c:v>8.1999999999999993</c:v>
                </c:pt>
                <c:pt idx="155">
                  <c:v>8.1999999999999993</c:v>
                </c:pt>
                <c:pt idx="156">
                  <c:v>8.3000000000000007</c:v>
                </c:pt>
                <c:pt idx="157">
                  <c:v>8.4</c:v>
                </c:pt>
                <c:pt idx="158">
                  <c:v>8.5</c:v>
                </c:pt>
                <c:pt idx="159">
                  <c:v>8.6</c:v>
                </c:pt>
                <c:pt idx="160">
                  <c:v>8.6999999999999993</c:v>
                </c:pt>
                <c:pt idx="161">
                  <c:v>8.8000000000000007</c:v>
                </c:pt>
                <c:pt idx="162">
                  <c:v>8.9</c:v>
                </c:pt>
                <c:pt idx="163">
                  <c:v>9</c:v>
                </c:pt>
                <c:pt idx="164">
                  <c:v>9.1</c:v>
                </c:pt>
                <c:pt idx="165">
                  <c:v>9.1999999999999993</c:v>
                </c:pt>
                <c:pt idx="166">
                  <c:v>9.4</c:v>
                </c:pt>
                <c:pt idx="167">
                  <c:v>9.5</c:v>
                </c:pt>
                <c:pt idx="168">
                  <c:v>9.6</c:v>
                </c:pt>
                <c:pt idx="169">
                  <c:v>9.8000000000000007</c:v>
                </c:pt>
                <c:pt idx="170">
                  <c:v>9.9</c:v>
                </c:pt>
                <c:pt idx="171">
                  <c:v>10.1</c:v>
                </c:pt>
                <c:pt idx="172">
                  <c:v>10.199999999999999</c:v>
                </c:pt>
                <c:pt idx="173">
                  <c:v>10.4</c:v>
                </c:pt>
                <c:pt idx="174">
                  <c:v>10.6</c:v>
                </c:pt>
                <c:pt idx="175">
                  <c:v>10.8</c:v>
                </c:pt>
                <c:pt idx="176">
                  <c:v>11</c:v>
                </c:pt>
                <c:pt idx="177">
                  <c:v>11.2</c:v>
                </c:pt>
                <c:pt idx="178">
                  <c:v>11.5</c:v>
                </c:pt>
                <c:pt idx="179">
                  <c:v>11.7</c:v>
                </c:pt>
                <c:pt idx="180">
                  <c:v>12</c:v>
                </c:pt>
                <c:pt idx="181">
                  <c:v>12.3</c:v>
                </c:pt>
                <c:pt idx="182">
                  <c:v>12.6</c:v>
                </c:pt>
                <c:pt idx="183">
                  <c:v>12.9</c:v>
                </c:pt>
                <c:pt idx="184">
                  <c:v>13.2</c:v>
                </c:pt>
                <c:pt idx="185">
                  <c:v>13.6</c:v>
                </c:pt>
                <c:pt idx="186">
                  <c:v>14</c:v>
                </c:pt>
                <c:pt idx="187">
                  <c:v>14.4</c:v>
                </c:pt>
                <c:pt idx="188">
                  <c:v>14.8</c:v>
                </c:pt>
                <c:pt idx="189">
                  <c:v>15.2</c:v>
                </c:pt>
                <c:pt idx="190">
                  <c:v>15.7</c:v>
                </c:pt>
                <c:pt idx="191">
                  <c:v>16.2</c:v>
                </c:pt>
                <c:pt idx="192">
                  <c:v>16.8</c:v>
                </c:pt>
                <c:pt idx="193">
                  <c:v>17.3</c:v>
                </c:pt>
                <c:pt idx="194">
                  <c:v>18</c:v>
                </c:pt>
                <c:pt idx="195">
                  <c:v>18.600000000000001</c:v>
                </c:pt>
                <c:pt idx="196">
                  <c:v>19.3</c:v>
                </c:pt>
                <c:pt idx="197">
                  <c:v>20</c:v>
                </c:pt>
                <c:pt idx="198">
                  <c:v>20.7</c:v>
                </c:pt>
                <c:pt idx="199">
                  <c:v>21.5</c:v>
                </c:pt>
                <c:pt idx="200">
                  <c:v>22.3</c:v>
                </c:pt>
                <c:pt idx="201">
                  <c:v>23.1</c:v>
                </c:pt>
                <c:pt idx="202">
                  <c:v>23.9</c:v>
                </c:pt>
                <c:pt idx="203">
                  <c:v>24.8</c:v>
                </c:pt>
                <c:pt idx="204">
                  <c:v>25.6</c:v>
                </c:pt>
                <c:pt idx="205">
                  <c:v>26.4</c:v>
                </c:pt>
                <c:pt idx="206">
                  <c:v>27.2</c:v>
                </c:pt>
                <c:pt idx="207">
                  <c:v>28</c:v>
                </c:pt>
                <c:pt idx="208">
                  <c:v>28.7</c:v>
                </c:pt>
                <c:pt idx="209">
                  <c:v>29.3</c:v>
                </c:pt>
                <c:pt idx="210">
                  <c:v>29.9</c:v>
                </c:pt>
                <c:pt idx="211">
                  <c:v>30.3</c:v>
                </c:pt>
                <c:pt idx="212">
                  <c:v>30.6</c:v>
                </c:pt>
                <c:pt idx="213">
                  <c:v>30.8</c:v>
                </c:pt>
                <c:pt idx="214">
                  <c:v>30.9</c:v>
                </c:pt>
                <c:pt idx="215">
                  <c:v>30.9</c:v>
                </c:pt>
                <c:pt idx="216">
                  <c:v>30.7</c:v>
                </c:pt>
                <c:pt idx="217">
                  <c:v>30.4</c:v>
                </c:pt>
                <c:pt idx="218">
                  <c:v>30.1</c:v>
                </c:pt>
                <c:pt idx="219">
                  <c:v>29.7</c:v>
                </c:pt>
                <c:pt idx="220">
                  <c:v>29.2</c:v>
                </c:pt>
                <c:pt idx="221">
                  <c:v>28.7</c:v>
                </c:pt>
                <c:pt idx="222">
                  <c:v>28.1</c:v>
                </c:pt>
                <c:pt idx="223">
                  <c:v>27.5</c:v>
                </c:pt>
                <c:pt idx="224">
                  <c:v>26.9</c:v>
                </c:pt>
                <c:pt idx="225">
                  <c:v>26.3</c:v>
                </c:pt>
                <c:pt idx="226">
                  <c:v>25.7</c:v>
                </c:pt>
                <c:pt idx="227">
                  <c:v>25.1</c:v>
                </c:pt>
                <c:pt idx="228">
                  <c:v>24.5</c:v>
                </c:pt>
                <c:pt idx="229">
                  <c:v>23.9</c:v>
                </c:pt>
                <c:pt idx="230">
                  <c:v>23.3</c:v>
                </c:pt>
                <c:pt idx="231">
                  <c:v>22.8</c:v>
                </c:pt>
                <c:pt idx="232">
                  <c:v>22.3</c:v>
                </c:pt>
                <c:pt idx="233">
                  <c:v>21.8</c:v>
                </c:pt>
                <c:pt idx="234">
                  <c:v>21.3</c:v>
                </c:pt>
                <c:pt idx="235">
                  <c:v>20.9</c:v>
                </c:pt>
                <c:pt idx="236">
                  <c:v>20.399999999999999</c:v>
                </c:pt>
                <c:pt idx="237">
                  <c:v>20</c:v>
                </c:pt>
                <c:pt idx="238">
                  <c:v>19.7</c:v>
                </c:pt>
                <c:pt idx="239">
                  <c:v>19.3</c:v>
                </c:pt>
                <c:pt idx="240">
                  <c:v>19</c:v>
                </c:pt>
                <c:pt idx="241">
                  <c:v>18.600000000000001</c:v>
                </c:pt>
                <c:pt idx="242">
                  <c:v>18.3</c:v>
                </c:pt>
                <c:pt idx="243">
                  <c:v>18.100000000000001</c:v>
                </c:pt>
                <c:pt idx="244">
                  <c:v>17.8</c:v>
                </c:pt>
                <c:pt idx="245">
                  <c:v>17.5</c:v>
                </c:pt>
                <c:pt idx="246">
                  <c:v>17.3</c:v>
                </c:pt>
                <c:pt idx="247">
                  <c:v>17.100000000000001</c:v>
                </c:pt>
                <c:pt idx="248">
                  <c:v>16.899999999999999</c:v>
                </c:pt>
                <c:pt idx="249">
                  <c:v>16.7</c:v>
                </c:pt>
                <c:pt idx="250">
                  <c:v>16.5</c:v>
                </c:pt>
                <c:pt idx="251">
                  <c:v>16.3</c:v>
                </c:pt>
                <c:pt idx="252">
                  <c:v>16.2</c:v>
                </c:pt>
                <c:pt idx="253">
                  <c:v>16</c:v>
                </c:pt>
                <c:pt idx="254">
                  <c:v>15.9</c:v>
                </c:pt>
                <c:pt idx="255">
                  <c:v>15.7</c:v>
                </c:pt>
                <c:pt idx="256">
                  <c:v>15.6</c:v>
                </c:pt>
                <c:pt idx="257">
                  <c:v>15.5</c:v>
                </c:pt>
                <c:pt idx="258">
                  <c:v>15.4</c:v>
                </c:pt>
                <c:pt idx="259">
                  <c:v>15.3</c:v>
                </c:pt>
                <c:pt idx="260">
                  <c:v>15.2</c:v>
                </c:pt>
                <c:pt idx="261">
                  <c:v>15.1</c:v>
                </c:pt>
                <c:pt idx="262">
                  <c:v>15</c:v>
                </c:pt>
                <c:pt idx="263">
                  <c:v>15</c:v>
                </c:pt>
                <c:pt idx="264">
                  <c:v>14.9</c:v>
                </c:pt>
                <c:pt idx="265">
                  <c:v>14.8</c:v>
                </c:pt>
                <c:pt idx="266">
                  <c:v>14.8</c:v>
                </c:pt>
                <c:pt idx="267">
                  <c:v>14.7</c:v>
                </c:pt>
                <c:pt idx="268">
                  <c:v>14.7</c:v>
                </c:pt>
                <c:pt idx="269">
                  <c:v>14.6</c:v>
                </c:pt>
                <c:pt idx="270">
                  <c:v>14.6</c:v>
                </c:pt>
                <c:pt idx="271">
                  <c:v>14.6</c:v>
                </c:pt>
                <c:pt idx="272">
                  <c:v>14.5</c:v>
                </c:pt>
                <c:pt idx="273">
                  <c:v>14.5</c:v>
                </c:pt>
                <c:pt idx="274">
                  <c:v>14.5</c:v>
                </c:pt>
                <c:pt idx="275">
                  <c:v>14.5</c:v>
                </c:pt>
                <c:pt idx="276">
                  <c:v>14.4</c:v>
                </c:pt>
                <c:pt idx="277">
                  <c:v>14.4</c:v>
                </c:pt>
                <c:pt idx="278">
                  <c:v>14.4</c:v>
                </c:pt>
                <c:pt idx="279">
                  <c:v>14.4</c:v>
                </c:pt>
                <c:pt idx="280">
                  <c:v>14.4</c:v>
                </c:pt>
                <c:pt idx="281">
                  <c:v>14.4</c:v>
                </c:pt>
                <c:pt idx="282">
                  <c:v>14.4</c:v>
                </c:pt>
                <c:pt idx="283">
                  <c:v>14.4</c:v>
                </c:pt>
                <c:pt idx="284">
                  <c:v>14.4</c:v>
                </c:pt>
                <c:pt idx="285">
                  <c:v>14.4</c:v>
                </c:pt>
                <c:pt idx="286">
                  <c:v>14.4</c:v>
                </c:pt>
                <c:pt idx="287">
                  <c:v>14.4</c:v>
                </c:pt>
                <c:pt idx="288">
                  <c:v>14.4</c:v>
                </c:pt>
                <c:pt idx="289">
                  <c:v>14.4</c:v>
                </c:pt>
                <c:pt idx="290">
                  <c:v>14.5</c:v>
                </c:pt>
                <c:pt idx="291">
                  <c:v>14.5</c:v>
                </c:pt>
                <c:pt idx="292">
                  <c:v>14.5</c:v>
                </c:pt>
                <c:pt idx="293">
                  <c:v>14.5</c:v>
                </c:pt>
                <c:pt idx="294">
                  <c:v>14.6</c:v>
                </c:pt>
                <c:pt idx="295">
                  <c:v>14.6</c:v>
                </c:pt>
                <c:pt idx="296">
                  <c:v>14.6</c:v>
                </c:pt>
                <c:pt idx="297">
                  <c:v>14.6</c:v>
                </c:pt>
                <c:pt idx="298">
                  <c:v>14.7</c:v>
                </c:pt>
                <c:pt idx="299">
                  <c:v>14.7</c:v>
                </c:pt>
                <c:pt idx="300">
                  <c:v>14.7</c:v>
                </c:pt>
                <c:pt idx="301">
                  <c:v>14.8</c:v>
                </c:pt>
                <c:pt idx="302">
                  <c:v>14.8</c:v>
                </c:pt>
                <c:pt idx="303">
                  <c:v>14.9</c:v>
                </c:pt>
                <c:pt idx="304">
                  <c:v>14.9</c:v>
                </c:pt>
                <c:pt idx="305">
                  <c:v>14.9</c:v>
                </c:pt>
                <c:pt idx="306">
                  <c:v>15</c:v>
                </c:pt>
                <c:pt idx="307">
                  <c:v>15</c:v>
                </c:pt>
                <c:pt idx="308">
                  <c:v>15.1</c:v>
                </c:pt>
                <c:pt idx="309">
                  <c:v>15.1</c:v>
                </c:pt>
                <c:pt idx="310">
                  <c:v>15.2</c:v>
                </c:pt>
                <c:pt idx="311">
                  <c:v>15.2</c:v>
                </c:pt>
                <c:pt idx="312">
                  <c:v>15.3</c:v>
                </c:pt>
                <c:pt idx="313">
                  <c:v>15.3</c:v>
                </c:pt>
                <c:pt idx="314">
                  <c:v>15.4</c:v>
                </c:pt>
                <c:pt idx="315">
                  <c:v>15.4</c:v>
                </c:pt>
                <c:pt idx="316">
                  <c:v>15.5</c:v>
                </c:pt>
                <c:pt idx="317">
                  <c:v>15.5</c:v>
                </c:pt>
                <c:pt idx="318">
                  <c:v>15.6</c:v>
                </c:pt>
                <c:pt idx="319">
                  <c:v>15.7</c:v>
                </c:pt>
                <c:pt idx="320">
                  <c:v>15.7</c:v>
                </c:pt>
                <c:pt idx="321">
                  <c:v>15.8</c:v>
                </c:pt>
                <c:pt idx="322">
                  <c:v>15.9</c:v>
                </c:pt>
                <c:pt idx="323">
                  <c:v>15.9</c:v>
                </c:pt>
                <c:pt idx="324">
                  <c:v>16</c:v>
                </c:pt>
                <c:pt idx="325">
                  <c:v>16.100000000000001</c:v>
                </c:pt>
                <c:pt idx="326">
                  <c:v>16.100000000000001</c:v>
                </c:pt>
                <c:pt idx="327">
                  <c:v>16.2</c:v>
                </c:pt>
                <c:pt idx="328">
                  <c:v>16.3</c:v>
                </c:pt>
                <c:pt idx="329">
                  <c:v>16.399999999999999</c:v>
                </c:pt>
                <c:pt idx="330">
                  <c:v>16.399999999999999</c:v>
                </c:pt>
                <c:pt idx="331">
                  <c:v>16.5</c:v>
                </c:pt>
                <c:pt idx="332">
                  <c:v>16.600000000000001</c:v>
                </c:pt>
                <c:pt idx="333">
                  <c:v>16.7</c:v>
                </c:pt>
                <c:pt idx="334">
                  <c:v>16.7</c:v>
                </c:pt>
                <c:pt idx="335">
                  <c:v>16.8</c:v>
                </c:pt>
                <c:pt idx="336">
                  <c:v>16.899999999999999</c:v>
                </c:pt>
                <c:pt idx="337">
                  <c:v>17</c:v>
                </c:pt>
                <c:pt idx="338">
                  <c:v>17.100000000000001</c:v>
                </c:pt>
                <c:pt idx="339">
                  <c:v>17.2</c:v>
                </c:pt>
                <c:pt idx="340">
                  <c:v>17.3</c:v>
                </c:pt>
                <c:pt idx="341">
                  <c:v>17.399999999999999</c:v>
                </c:pt>
                <c:pt idx="342">
                  <c:v>17.399999999999999</c:v>
                </c:pt>
                <c:pt idx="343">
                  <c:v>17.5</c:v>
                </c:pt>
                <c:pt idx="344">
                  <c:v>17.600000000000001</c:v>
                </c:pt>
                <c:pt idx="345">
                  <c:v>17.7</c:v>
                </c:pt>
                <c:pt idx="346">
                  <c:v>17.8</c:v>
                </c:pt>
                <c:pt idx="347">
                  <c:v>17.899999999999999</c:v>
                </c:pt>
                <c:pt idx="348">
                  <c:v>18</c:v>
                </c:pt>
                <c:pt idx="349">
                  <c:v>18.100000000000001</c:v>
                </c:pt>
                <c:pt idx="350">
                  <c:v>18.2</c:v>
                </c:pt>
                <c:pt idx="351">
                  <c:v>18.3</c:v>
                </c:pt>
                <c:pt idx="352">
                  <c:v>18.399999999999999</c:v>
                </c:pt>
                <c:pt idx="353">
                  <c:v>18.600000000000001</c:v>
                </c:pt>
                <c:pt idx="354">
                  <c:v>18.7</c:v>
                </c:pt>
                <c:pt idx="355">
                  <c:v>18.8</c:v>
                </c:pt>
                <c:pt idx="356">
                  <c:v>18.899999999999999</c:v>
                </c:pt>
                <c:pt idx="357">
                  <c:v>19</c:v>
                </c:pt>
                <c:pt idx="358">
                  <c:v>19.100000000000001</c:v>
                </c:pt>
                <c:pt idx="359">
                  <c:v>19.2</c:v>
                </c:pt>
                <c:pt idx="360">
                  <c:v>19.399999999999999</c:v>
                </c:pt>
                <c:pt idx="361">
                  <c:v>19.5</c:v>
                </c:pt>
                <c:pt idx="362">
                  <c:v>19.600000000000001</c:v>
                </c:pt>
                <c:pt idx="363">
                  <c:v>19.7</c:v>
                </c:pt>
                <c:pt idx="364">
                  <c:v>19.899999999999999</c:v>
                </c:pt>
                <c:pt idx="365">
                  <c:v>20</c:v>
                </c:pt>
                <c:pt idx="366">
                  <c:v>20.100000000000001</c:v>
                </c:pt>
                <c:pt idx="367">
                  <c:v>20.2</c:v>
                </c:pt>
                <c:pt idx="368">
                  <c:v>20.399999999999999</c:v>
                </c:pt>
                <c:pt idx="369">
                  <c:v>20.5</c:v>
                </c:pt>
                <c:pt idx="370">
                  <c:v>20.7</c:v>
                </c:pt>
                <c:pt idx="371">
                  <c:v>20.8</c:v>
                </c:pt>
                <c:pt idx="372">
                  <c:v>20.9</c:v>
                </c:pt>
                <c:pt idx="373">
                  <c:v>21.1</c:v>
                </c:pt>
                <c:pt idx="374">
                  <c:v>21.2</c:v>
                </c:pt>
                <c:pt idx="375">
                  <c:v>21.4</c:v>
                </c:pt>
                <c:pt idx="376">
                  <c:v>21.5</c:v>
                </c:pt>
                <c:pt idx="377">
                  <c:v>21.7</c:v>
                </c:pt>
                <c:pt idx="378">
                  <c:v>21.8</c:v>
                </c:pt>
                <c:pt idx="379">
                  <c:v>22</c:v>
                </c:pt>
                <c:pt idx="380">
                  <c:v>22.2</c:v>
                </c:pt>
                <c:pt idx="381">
                  <c:v>22.3</c:v>
                </c:pt>
                <c:pt idx="382">
                  <c:v>22.5</c:v>
                </c:pt>
                <c:pt idx="383">
                  <c:v>22.7</c:v>
                </c:pt>
                <c:pt idx="384">
                  <c:v>22.8</c:v>
                </c:pt>
                <c:pt idx="385">
                  <c:v>23</c:v>
                </c:pt>
                <c:pt idx="386">
                  <c:v>23.2</c:v>
                </c:pt>
                <c:pt idx="387">
                  <c:v>23.4</c:v>
                </c:pt>
                <c:pt idx="388">
                  <c:v>23.5</c:v>
                </c:pt>
                <c:pt idx="389">
                  <c:v>23.7</c:v>
                </c:pt>
                <c:pt idx="390">
                  <c:v>23.9</c:v>
                </c:pt>
                <c:pt idx="391">
                  <c:v>24.1</c:v>
                </c:pt>
                <c:pt idx="392">
                  <c:v>24.3</c:v>
                </c:pt>
                <c:pt idx="393">
                  <c:v>24.5</c:v>
                </c:pt>
                <c:pt idx="394">
                  <c:v>24.7</c:v>
                </c:pt>
                <c:pt idx="395">
                  <c:v>24.9</c:v>
                </c:pt>
                <c:pt idx="396">
                  <c:v>25.1</c:v>
                </c:pt>
                <c:pt idx="397">
                  <c:v>25.3</c:v>
                </c:pt>
                <c:pt idx="398">
                  <c:v>25.5</c:v>
                </c:pt>
                <c:pt idx="399">
                  <c:v>25.7</c:v>
                </c:pt>
                <c:pt idx="400">
                  <c:v>25.9</c:v>
                </c:pt>
                <c:pt idx="401">
                  <c:v>26.2</c:v>
                </c:pt>
                <c:pt idx="402">
                  <c:v>26.4</c:v>
                </c:pt>
                <c:pt idx="403">
                  <c:v>26.6</c:v>
                </c:pt>
                <c:pt idx="404">
                  <c:v>26.9</c:v>
                </c:pt>
                <c:pt idx="405">
                  <c:v>27.1</c:v>
                </c:pt>
                <c:pt idx="406">
                  <c:v>27.3</c:v>
                </c:pt>
                <c:pt idx="407">
                  <c:v>27.6</c:v>
                </c:pt>
                <c:pt idx="408">
                  <c:v>27.8</c:v>
                </c:pt>
                <c:pt idx="409">
                  <c:v>28.1</c:v>
                </c:pt>
                <c:pt idx="410">
                  <c:v>28.3</c:v>
                </c:pt>
                <c:pt idx="411">
                  <c:v>28.6</c:v>
                </c:pt>
                <c:pt idx="412">
                  <c:v>28.9</c:v>
                </c:pt>
                <c:pt idx="413">
                  <c:v>29.2</c:v>
                </c:pt>
                <c:pt idx="414">
                  <c:v>29.4</c:v>
                </c:pt>
                <c:pt idx="415">
                  <c:v>29.7</c:v>
                </c:pt>
                <c:pt idx="416">
                  <c:v>30</c:v>
                </c:pt>
                <c:pt idx="417">
                  <c:v>30.3</c:v>
                </c:pt>
                <c:pt idx="418">
                  <c:v>30.6</c:v>
                </c:pt>
                <c:pt idx="419">
                  <c:v>30.9</c:v>
                </c:pt>
                <c:pt idx="420">
                  <c:v>31.2</c:v>
                </c:pt>
                <c:pt idx="421">
                  <c:v>31.5</c:v>
                </c:pt>
                <c:pt idx="422">
                  <c:v>31.8</c:v>
                </c:pt>
                <c:pt idx="423">
                  <c:v>32.200000000000003</c:v>
                </c:pt>
                <c:pt idx="424">
                  <c:v>32.5</c:v>
                </c:pt>
                <c:pt idx="425">
                  <c:v>32.799999999999997</c:v>
                </c:pt>
                <c:pt idx="426">
                  <c:v>33.200000000000003</c:v>
                </c:pt>
                <c:pt idx="427">
                  <c:v>33.5</c:v>
                </c:pt>
                <c:pt idx="428">
                  <c:v>33.9</c:v>
                </c:pt>
                <c:pt idx="429">
                  <c:v>34.200000000000003</c:v>
                </c:pt>
                <c:pt idx="430">
                  <c:v>34.6</c:v>
                </c:pt>
                <c:pt idx="431">
                  <c:v>35</c:v>
                </c:pt>
                <c:pt idx="432">
                  <c:v>35.4</c:v>
                </c:pt>
                <c:pt idx="433">
                  <c:v>35.799999999999997</c:v>
                </c:pt>
                <c:pt idx="434">
                  <c:v>36.200000000000003</c:v>
                </c:pt>
                <c:pt idx="435">
                  <c:v>36.6</c:v>
                </c:pt>
                <c:pt idx="436">
                  <c:v>37</c:v>
                </c:pt>
                <c:pt idx="437">
                  <c:v>37.4</c:v>
                </c:pt>
                <c:pt idx="438">
                  <c:v>37.9</c:v>
                </c:pt>
                <c:pt idx="439">
                  <c:v>38.299999999999997</c:v>
                </c:pt>
                <c:pt idx="440">
                  <c:v>38.799999999999997</c:v>
                </c:pt>
                <c:pt idx="441">
                  <c:v>39.200000000000003</c:v>
                </c:pt>
                <c:pt idx="442">
                  <c:v>39.700000000000003</c:v>
                </c:pt>
                <c:pt idx="443">
                  <c:v>40.200000000000003</c:v>
                </c:pt>
                <c:pt idx="444">
                  <c:v>40.700000000000003</c:v>
                </c:pt>
                <c:pt idx="445">
                  <c:v>41.2</c:v>
                </c:pt>
                <c:pt idx="446">
                  <c:v>41.7</c:v>
                </c:pt>
                <c:pt idx="447">
                  <c:v>42.3</c:v>
                </c:pt>
                <c:pt idx="448">
                  <c:v>42.8</c:v>
                </c:pt>
                <c:pt idx="449">
                  <c:v>43.3</c:v>
                </c:pt>
                <c:pt idx="450">
                  <c:v>43.9</c:v>
                </c:pt>
                <c:pt idx="451">
                  <c:v>44.5</c:v>
                </c:pt>
                <c:pt idx="452">
                  <c:v>45.1</c:v>
                </c:pt>
                <c:pt idx="453">
                  <c:v>45.7</c:v>
                </c:pt>
                <c:pt idx="454">
                  <c:v>46.3</c:v>
                </c:pt>
                <c:pt idx="455">
                  <c:v>46.9</c:v>
                </c:pt>
                <c:pt idx="456">
                  <c:v>47.6</c:v>
                </c:pt>
                <c:pt idx="457">
                  <c:v>48.3</c:v>
                </c:pt>
                <c:pt idx="458">
                  <c:v>48.9</c:v>
                </c:pt>
                <c:pt idx="459">
                  <c:v>49.6</c:v>
                </c:pt>
                <c:pt idx="460">
                  <c:v>50.4</c:v>
                </c:pt>
                <c:pt idx="461">
                  <c:v>51.1</c:v>
                </c:pt>
                <c:pt idx="462">
                  <c:v>51.9</c:v>
                </c:pt>
                <c:pt idx="463">
                  <c:v>52.6</c:v>
                </c:pt>
                <c:pt idx="464">
                  <c:v>53.4</c:v>
                </c:pt>
                <c:pt idx="465">
                  <c:v>54.2</c:v>
                </c:pt>
                <c:pt idx="466">
                  <c:v>55.1</c:v>
                </c:pt>
                <c:pt idx="467">
                  <c:v>55.9</c:v>
                </c:pt>
                <c:pt idx="468">
                  <c:v>56.8</c:v>
                </c:pt>
                <c:pt idx="469">
                  <c:v>57.7</c:v>
                </c:pt>
                <c:pt idx="470">
                  <c:v>58.7</c:v>
                </c:pt>
                <c:pt idx="471">
                  <c:v>59.6</c:v>
                </c:pt>
                <c:pt idx="472">
                  <c:v>60.6</c:v>
                </c:pt>
                <c:pt idx="473">
                  <c:v>61.6</c:v>
                </c:pt>
                <c:pt idx="474">
                  <c:v>62.7</c:v>
                </c:pt>
                <c:pt idx="475">
                  <c:v>63.7</c:v>
                </c:pt>
                <c:pt idx="476">
                  <c:v>64.8</c:v>
                </c:pt>
                <c:pt idx="477">
                  <c:v>66</c:v>
                </c:pt>
                <c:pt idx="478">
                  <c:v>67.2</c:v>
                </c:pt>
                <c:pt idx="479">
                  <c:v>68.400000000000006</c:v>
                </c:pt>
                <c:pt idx="480">
                  <c:v>69.599999999999994</c:v>
                </c:pt>
                <c:pt idx="481">
                  <c:v>70.900000000000006</c:v>
                </c:pt>
                <c:pt idx="482">
                  <c:v>72.3</c:v>
                </c:pt>
                <c:pt idx="483">
                  <c:v>73.599999999999994</c:v>
                </c:pt>
                <c:pt idx="484">
                  <c:v>75.099999999999994</c:v>
                </c:pt>
                <c:pt idx="485">
                  <c:v>76.599999999999994</c:v>
                </c:pt>
                <c:pt idx="486">
                  <c:v>78.099999999999994</c:v>
                </c:pt>
                <c:pt idx="487">
                  <c:v>79.7</c:v>
                </c:pt>
                <c:pt idx="488">
                  <c:v>81.3</c:v>
                </c:pt>
                <c:pt idx="489">
                  <c:v>83.1</c:v>
                </c:pt>
                <c:pt idx="490">
                  <c:v>84.9</c:v>
                </c:pt>
                <c:pt idx="491">
                  <c:v>86.7</c:v>
                </c:pt>
                <c:pt idx="492">
                  <c:v>88.7</c:v>
                </c:pt>
                <c:pt idx="493">
                  <c:v>90.8</c:v>
                </c:pt>
                <c:pt idx="494">
                  <c:v>92.9</c:v>
                </c:pt>
                <c:pt idx="495">
                  <c:v>95.2</c:v>
                </c:pt>
                <c:pt idx="496">
                  <c:v>97.5</c:v>
                </c:pt>
                <c:pt idx="497">
                  <c:v>100</c:v>
                </c:pt>
                <c:pt idx="498">
                  <c:v>102.6</c:v>
                </c:pt>
                <c:pt idx="499">
                  <c:v>105.3</c:v>
                </c:pt>
                <c:pt idx="500">
                  <c:v>108.2</c:v>
                </c:pt>
                <c:pt idx="501">
                  <c:v>111.2</c:v>
                </c:pt>
                <c:pt idx="502">
                  <c:v>114.4</c:v>
                </c:pt>
                <c:pt idx="503">
                  <c:v>117.8</c:v>
                </c:pt>
                <c:pt idx="504">
                  <c:v>121.5</c:v>
                </c:pt>
                <c:pt idx="505">
                  <c:v>125.3</c:v>
                </c:pt>
                <c:pt idx="506">
                  <c:v>129.19999999999999</c:v>
                </c:pt>
                <c:pt idx="507">
                  <c:v>133.4</c:v>
                </c:pt>
                <c:pt idx="508">
                  <c:v>137.9</c:v>
                </c:pt>
                <c:pt idx="509">
                  <c:v>142.80000000000001</c:v>
                </c:pt>
                <c:pt idx="510">
                  <c:v>148</c:v>
                </c:pt>
                <c:pt idx="511">
                  <c:v>153.1</c:v>
                </c:pt>
                <c:pt idx="512">
                  <c:v>158.4</c:v>
                </c:pt>
                <c:pt idx="513">
                  <c:v>164.1</c:v>
                </c:pt>
                <c:pt idx="514">
                  <c:v>170.5</c:v>
                </c:pt>
                <c:pt idx="515">
                  <c:v>177.3</c:v>
                </c:pt>
                <c:pt idx="516">
                  <c:v>183.6</c:v>
                </c:pt>
                <c:pt idx="517">
                  <c:v>189.6</c:v>
                </c:pt>
                <c:pt idx="518">
                  <c:v>196.2</c:v>
                </c:pt>
                <c:pt idx="519">
                  <c:v>203.4</c:v>
                </c:pt>
                <c:pt idx="520">
                  <c:v>211.1</c:v>
                </c:pt>
                <c:pt idx="521">
                  <c:v>218.1</c:v>
                </c:pt>
                <c:pt idx="522">
                  <c:v>223.6</c:v>
                </c:pt>
                <c:pt idx="523">
                  <c:v>229.6</c:v>
                </c:pt>
                <c:pt idx="524">
                  <c:v>236</c:v>
                </c:pt>
                <c:pt idx="525">
                  <c:v>242.7</c:v>
                </c:pt>
                <c:pt idx="526">
                  <c:v>248.7</c:v>
                </c:pt>
                <c:pt idx="527">
                  <c:v>252.5</c:v>
                </c:pt>
                <c:pt idx="528">
                  <c:v>256.3</c:v>
                </c:pt>
                <c:pt idx="529">
                  <c:v>260.2</c:v>
                </c:pt>
                <c:pt idx="530">
                  <c:v>264</c:v>
                </c:pt>
                <c:pt idx="531">
                  <c:v>267.39999999999998</c:v>
                </c:pt>
                <c:pt idx="532">
                  <c:v>269.3</c:v>
                </c:pt>
                <c:pt idx="533">
                  <c:v>270.89999999999998</c:v>
                </c:pt>
                <c:pt idx="534">
                  <c:v>272.39999999999998</c:v>
                </c:pt>
                <c:pt idx="535">
                  <c:v>273.8</c:v>
                </c:pt>
                <c:pt idx="536">
                  <c:v>275</c:v>
                </c:pt>
                <c:pt idx="537">
                  <c:v>275.8</c:v>
                </c:pt>
                <c:pt idx="538">
                  <c:v>276.5</c:v>
                </c:pt>
                <c:pt idx="539">
                  <c:v>277</c:v>
                </c:pt>
                <c:pt idx="540">
                  <c:v>277.5</c:v>
                </c:pt>
                <c:pt idx="541">
                  <c:v>278</c:v>
                </c:pt>
                <c:pt idx="542">
                  <c:v>278.39999999999998</c:v>
                </c:pt>
                <c:pt idx="543">
                  <c:v>278.7</c:v>
                </c:pt>
                <c:pt idx="544">
                  <c:v>279</c:v>
                </c:pt>
                <c:pt idx="545">
                  <c:v>279.3</c:v>
                </c:pt>
                <c:pt idx="546">
                  <c:v>279.5</c:v>
                </c:pt>
                <c:pt idx="547">
                  <c:v>279.7</c:v>
                </c:pt>
                <c:pt idx="548">
                  <c:v>279.89999999999998</c:v>
                </c:pt>
                <c:pt idx="549">
                  <c:v>280.10000000000002</c:v>
                </c:pt>
                <c:pt idx="550">
                  <c:v>280.3</c:v>
                </c:pt>
                <c:pt idx="551">
                  <c:v>280.39999999999998</c:v>
                </c:pt>
                <c:pt idx="552">
                  <c:v>280.60000000000002</c:v>
                </c:pt>
                <c:pt idx="553">
                  <c:v>280.7</c:v>
                </c:pt>
                <c:pt idx="554">
                  <c:v>280.8</c:v>
                </c:pt>
                <c:pt idx="555">
                  <c:v>280.89999999999998</c:v>
                </c:pt>
                <c:pt idx="556">
                  <c:v>281</c:v>
                </c:pt>
                <c:pt idx="557">
                  <c:v>281.10000000000002</c:v>
                </c:pt>
                <c:pt idx="558">
                  <c:v>281.10000000000002</c:v>
                </c:pt>
                <c:pt idx="559">
                  <c:v>281.2</c:v>
                </c:pt>
                <c:pt idx="560">
                  <c:v>281.3</c:v>
                </c:pt>
                <c:pt idx="561">
                  <c:v>281.3</c:v>
                </c:pt>
                <c:pt idx="562">
                  <c:v>281.39999999999998</c:v>
                </c:pt>
                <c:pt idx="563">
                  <c:v>281.39999999999998</c:v>
                </c:pt>
                <c:pt idx="564">
                  <c:v>281.5</c:v>
                </c:pt>
                <c:pt idx="565">
                  <c:v>281.5</c:v>
                </c:pt>
                <c:pt idx="566">
                  <c:v>281.60000000000002</c:v>
                </c:pt>
                <c:pt idx="567">
                  <c:v>281.60000000000002</c:v>
                </c:pt>
                <c:pt idx="568">
                  <c:v>281.60000000000002</c:v>
                </c:pt>
                <c:pt idx="569">
                  <c:v>281.7</c:v>
                </c:pt>
                <c:pt idx="570">
                  <c:v>281.7</c:v>
                </c:pt>
                <c:pt idx="571">
                  <c:v>281.7</c:v>
                </c:pt>
                <c:pt idx="572">
                  <c:v>281.8</c:v>
                </c:pt>
                <c:pt idx="573">
                  <c:v>281.8</c:v>
                </c:pt>
                <c:pt idx="574">
                  <c:v>281.8</c:v>
                </c:pt>
                <c:pt idx="575">
                  <c:v>281.8</c:v>
                </c:pt>
                <c:pt idx="576">
                  <c:v>281.89999999999998</c:v>
                </c:pt>
                <c:pt idx="577">
                  <c:v>281.89999999999998</c:v>
                </c:pt>
                <c:pt idx="578">
                  <c:v>281.89999999999998</c:v>
                </c:pt>
                <c:pt idx="579">
                  <c:v>281.89999999999998</c:v>
                </c:pt>
                <c:pt idx="580">
                  <c:v>281.89999999999998</c:v>
                </c:pt>
                <c:pt idx="581">
                  <c:v>281.89999999999998</c:v>
                </c:pt>
                <c:pt idx="582">
                  <c:v>281.89999999999998</c:v>
                </c:pt>
                <c:pt idx="583">
                  <c:v>281.89999999999998</c:v>
                </c:pt>
                <c:pt idx="584">
                  <c:v>281.89999999999998</c:v>
                </c:pt>
                <c:pt idx="585">
                  <c:v>282</c:v>
                </c:pt>
                <c:pt idx="586">
                  <c:v>282</c:v>
                </c:pt>
                <c:pt idx="587">
                  <c:v>282</c:v>
                </c:pt>
                <c:pt idx="588">
                  <c:v>282</c:v>
                </c:pt>
                <c:pt idx="589">
                  <c:v>282</c:v>
                </c:pt>
                <c:pt idx="590">
                  <c:v>282</c:v>
                </c:pt>
                <c:pt idx="591">
                  <c:v>282</c:v>
                </c:pt>
                <c:pt idx="592">
                  <c:v>282</c:v>
                </c:pt>
                <c:pt idx="593">
                  <c:v>282</c:v>
                </c:pt>
                <c:pt idx="594">
                  <c:v>282</c:v>
                </c:pt>
                <c:pt idx="595">
                  <c:v>282</c:v>
                </c:pt>
                <c:pt idx="596">
                  <c:v>282</c:v>
                </c:pt>
                <c:pt idx="597">
                  <c:v>282</c:v>
                </c:pt>
                <c:pt idx="598">
                  <c:v>282</c:v>
                </c:pt>
                <c:pt idx="599">
                  <c:v>282</c:v>
                </c:pt>
                <c:pt idx="600">
                  <c:v>282</c:v>
                </c:pt>
                <c:pt idx="601">
                  <c:v>282</c:v>
                </c:pt>
                <c:pt idx="602">
                  <c:v>282</c:v>
                </c:pt>
                <c:pt idx="603">
                  <c:v>282</c:v>
                </c:pt>
                <c:pt idx="604">
                  <c:v>282</c:v>
                </c:pt>
                <c:pt idx="605">
                  <c:v>282</c:v>
                </c:pt>
                <c:pt idx="606">
                  <c:v>282</c:v>
                </c:pt>
                <c:pt idx="607">
                  <c:v>282</c:v>
                </c:pt>
                <c:pt idx="608">
                  <c:v>281.89999999999998</c:v>
                </c:pt>
                <c:pt idx="609">
                  <c:v>281.89999999999998</c:v>
                </c:pt>
                <c:pt idx="610">
                  <c:v>281.89999999999998</c:v>
                </c:pt>
                <c:pt idx="611">
                  <c:v>281.89999999999998</c:v>
                </c:pt>
                <c:pt idx="612">
                  <c:v>281.89999999999998</c:v>
                </c:pt>
                <c:pt idx="613">
                  <c:v>281.8</c:v>
                </c:pt>
                <c:pt idx="614">
                  <c:v>281.8</c:v>
                </c:pt>
                <c:pt idx="615">
                  <c:v>281.7</c:v>
                </c:pt>
                <c:pt idx="616">
                  <c:v>281.7</c:v>
                </c:pt>
                <c:pt idx="617">
                  <c:v>281.60000000000002</c:v>
                </c:pt>
                <c:pt idx="618">
                  <c:v>281.60000000000002</c:v>
                </c:pt>
                <c:pt idx="619">
                  <c:v>281.5</c:v>
                </c:pt>
                <c:pt idx="620">
                  <c:v>281.39999999999998</c:v>
                </c:pt>
                <c:pt idx="621">
                  <c:v>281.3</c:v>
                </c:pt>
                <c:pt idx="622">
                  <c:v>281.2</c:v>
                </c:pt>
                <c:pt idx="623">
                  <c:v>281.10000000000002</c:v>
                </c:pt>
                <c:pt idx="624">
                  <c:v>281</c:v>
                </c:pt>
                <c:pt idx="625">
                  <c:v>280.8</c:v>
                </c:pt>
                <c:pt idx="626">
                  <c:v>280.7</c:v>
                </c:pt>
                <c:pt idx="627">
                  <c:v>280.5</c:v>
                </c:pt>
                <c:pt idx="628">
                  <c:v>280.39999999999998</c:v>
                </c:pt>
                <c:pt idx="629">
                  <c:v>280.2</c:v>
                </c:pt>
                <c:pt idx="630">
                  <c:v>280</c:v>
                </c:pt>
                <c:pt idx="631">
                  <c:v>279.8</c:v>
                </c:pt>
                <c:pt idx="632">
                  <c:v>279.5</c:v>
                </c:pt>
                <c:pt idx="633">
                  <c:v>279.3</c:v>
                </c:pt>
                <c:pt idx="634">
                  <c:v>279</c:v>
                </c:pt>
                <c:pt idx="635">
                  <c:v>278.60000000000002</c:v>
                </c:pt>
                <c:pt idx="636">
                  <c:v>278.3</c:v>
                </c:pt>
                <c:pt idx="637">
                  <c:v>277.89999999999998</c:v>
                </c:pt>
                <c:pt idx="638">
                  <c:v>277.39999999999998</c:v>
                </c:pt>
                <c:pt idx="639">
                  <c:v>276.8</c:v>
                </c:pt>
                <c:pt idx="640">
                  <c:v>276.10000000000002</c:v>
                </c:pt>
                <c:pt idx="641">
                  <c:v>275.39999999999998</c:v>
                </c:pt>
                <c:pt idx="642">
                  <c:v>274.60000000000002</c:v>
                </c:pt>
                <c:pt idx="643">
                  <c:v>273.39999999999998</c:v>
                </c:pt>
                <c:pt idx="644">
                  <c:v>271.7</c:v>
                </c:pt>
                <c:pt idx="645">
                  <c:v>269.7</c:v>
                </c:pt>
                <c:pt idx="646">
                  <c:v>267.7</c:v>
                </c:pt>
                <c:pt idx="647">
                  <c:v>265.60000000000002</c:v>
                </c:pt>
                <c:pt idx="648">
                  <c:v>262.89999999999998</c:v>
                </c:pt>
                <c:pt idx="649">
                  <c:v>258.89999999999998</c:v>
                </c:pt>
                <c:pt idx="650">
                  <c:v>254.6</c:v>
                </c:pt>
                <c:pt idx="651">
                  <c:v>250.2</c:v>
                </c:pt>
                <c:pt idx="652">
                  <c:v>246.1</c:v>
                </c:pt>
                <c:pt idx="653">
                  <c:v>241.8</c:v>
                </c:pt>
                <c:pt idx="654">
                  <c:v>235.9</c:v>
                </c:pt>
                <c:pt idx="655">
                  <c:v>229.6</c:v>
                </c:pt>
                <c:pt idx="656">
                  <c:v>223.6</c:v>
                </c:pt>
                <c:pt idx="657">
                  <c:v>218</c:v>
                </c:pt>
                <c:pt idx="658">
                  <c:v>212.7</c:v>
                </c:pt>
                <c:pt idx="659">
                  <c:v>206.6</c:v>
                </c:pt>
                <c:pt idx="660">
                  <c:v>200.1</c:v>
                </c:pt>
                <c:pt idx="661">
                  <c:v>194</c:v>
                </c:pt>
                <c:pt idx="662">
                  <c:v>188.4</c:v>
                </c:pt>
                <c:pt idx="663">
                  <c:v>183.2</c:v>
                </c:pt>
                <c:pt idx="664">
                  <c:v>178</c:v>
                </c:pt>
                <c:pt idx="665">
                  <c:v>172.5</c:v>
                </c:pt>
                <c:pt idx="666">
                  <c:v>167.4</c:v>
                </c:pt>
                <c:pt idx="667">
                  <c:v>162.6</c:v>
                </c:pt>
                <c:pt idx="668">
                  <c:v>158.19999999999999</c:v>
                </c:pt>
                <c:pt idx="669">
                  <c:v>154.1</c:v>
                </c:pt>
                <c:pt idx="670">
                  <c:v>149.80000000000001</c:v>
                </c:pt>
                <c:pt idx="671">
                  <c:v>145.80000000000001</c:v>
                </c:pt>
                <c:pt idx="672">
                  <c:v>142.1</c:v>
                </c:pt>
                <c:pt idx="673">
                  <c:v>138.6</c:v>
                </c:pt>
                <c:pt idx="674">
                  <c:v>135.30000000000001</c:v>
                </c:pt>
                <c:pt idx="675">
                  <c:v>132.1</c:v>
                </c:pt>
                <c:pt idx="676">
                  <c:v>129</c:v>
                </c:pt>
                <c:pt idx="677">
                  <c:v>126.1</c:v>
                </c:pt>
                <c:pt idx="678">
                  <c:v>123.3</c:v>
                </c:pt>
                <c:pt idx="679">
                  <c:v>120.7</c:v>
                </c:pt>
                <c:pt idx="680">
                  <c:v>118.2</c:v>
                </c:pt>
                <c:pt idx="681">
                  <c:v>115.8</c:v>
                </c:pt>
                <c:pt idx="682">
                  <c:v>113.5</c:v>
                </c:pt>
                <c:pt idx="683">
                  <c:v>111.3</c:v>
                </c:pt>
                <c:pt idx="684">
                  <c:v>109.2</c:v>
                </c:pt>
                <c:pt idx="685">
                  <c:v>107.2</c:v>
                </c:pt>
                <c:pt idx="686">
                  <c:v>105.3</c:v>
                </c:pt>
                <c:pt idx="687">
                  <c:v>103.5</c:v>
                </c:pt>
                <c:pt idx="688">
                  <c:v>101.7</c:v>
                </c:pt>
                <c:pt idx="689">
                  <c:v>100</c:v>
                </c:pt>
                <c:pt idx="690">
                  <c:v>98.4</c:v>
                </c:pt>
                <c:pt idx="691">
                  <c:v>96.8</c:v>
                </c:pt>
                <c:pt idx="692">
                  <c:v>95.2</c:v>
                </c:pt>
                <c:pt idx="693">
                  <c:v>93.8</c:v>
                </c:pt>
                <c:pt idx="694">
                  <c:v>92.3</c:v>
                </c:pt>
                <c:pt idx="695">
                  <c:v>91</c:v>
                </c:pt>
                <c:pt idx="696">
                  <c:v>89.6</c:v>
                </c:pt>
                <c:pt idx="697">
                  <c:v>88.3</c:v>
                </c:pt>
                <c:pt idx="698">
                  <c:v>87.1</c:v>
                </c:pt>
                <c:pt idx="699">
                  <c:v>85.8</c:v>
                </c:pt>
                <c:pt idx="700">
                  <c:v>84.7</c:v>
                </c:pt>
                <c:pt idx="701">
                  <c:v>83.5</c:v>
                </c:pt>
                <c:pt idx="702">
                  <c:v>82.4</c:v>
                </c:pt>
                <c:pt idx="703">
                  <c:v>81.3</c:v>
                </c:pt>
                <c:pt idx="704">
                  <c:v>80.3</c:v>
                </c:pt>
                <c:pt idx="705">
                  <c:v>79.2</c:v>
                </c:pt>
                <c:pt idx="706">
                  <c:v>78.2</c:v>
                </c:pt>
                <c:pt idx="707">
                  <c:v>77.3</c:v>
                </c:pt>
                <c:pt idx="708">
                  <c:v>76.3</c:v>
                </c:pt>
                <c:pt idx="709">
                  <c:v>75.400000000000006</c:v>
                </c:pt>
                <c:pt idx="710">
                  <c:v>74.5</c:v>
                </c:pt>
                <c:pt idx="711">
                  <c:v>73.7</c:v>
                </c:pt>
                <c:pt idx="712">
                  <c:v>72.8</c:v>
                </c:pt>
                <c:pt idx="713">
                  <c:v>72</c:v>
                </c:pt>
                <c:pt idx="714">
                  <c:v>71.2</c:v>
                </c:pt>
                <c:pt idx="715">
                  <c:v>70.400000000000006</c:v>
                </c:pt>
                <c:pt idx="716">
                  <c:v>69.7</c:v>
                </c:pt>
                <c:pt idx="717">
                  <c:v>68.900000000000006</c:v>
                </c:pt>
                <c:pt idx="718">
                  <c:v>68.2</c:v>
                </c:pt>
                <c:pt idx="719">
                  <c:v>67.5</c:v>
                </c:pt>
                <c:pt idx="720">
                  <c:v>66.8</c:v>
                </c:pt>
                <c:pt idx="721">
                  <c:v>66.099999999999994</c:v>
                </c:pt>
                <c:pt idx="722">
                  <c:v>65.5</c:v>
                </c:pt>
                <c:pt idx="723">
                  <c:v>64.8</c:v>
                </c:pt>
                <c:pt idx="724">
                  <c:v>64.2</c:v>
                </c:pt>
                <c:pt idx="725">
                  <c:v>63.6</c:v>
                </c:pt>
                <c:pt idx="726">
                  <c:v>63</c:v>
                </c:pt>
                <c:pt idx="727">
                  <c:v>62.4</c:v>
                </c:pt>
                <c:pt idx="728">
                  <c:v>61.9</c:v>
                </c:pt>
                <c:pt idx="729">
                  <c:v>61.3</c:v>
                </c:pt>
                <c:pt idx="730">
                  <c:v>60.8</c:v>
                </c:pt>
                <c:pt idx="731">
                  <c:v>60.3</c:v>
                </c:pt>
                <c:pt idx="732">
                  <c:v>59.7</c:v>
                </c:pt>
                <c:pt idx="733">
                  <c:v>59.2</c:v>
                </c:pt>
                <c:pt idx="734">
                  <c:v>58.7</c:v>
                </c:pt>
                <c:pt idx="735">
                  <c:v>58.3</c:v>
                </c:pt>
                <c:pt idx="736">
                  <c:v>57.8</c:v>
                </c:pt>
                <c:pt idx="737">
                  <c:v>57.3</c:v>
                </c:pt>
                <c:pt idx="738">
                  <c:v>56.9</c:v>
                </c:pt>
                <c:pt idx="739">
                  <c:v>56.4</c:v>
                </c:pt>
                <c:pt idx="740">
                  <c:v>56</c:v>
                </c:pt>
                <c:pt idx="741">
                  <c:v>55.6</c:v>
                </c:pt>
                <c:pt idx="742">
                  <c:v>55.2</c:v>
                </c:pt>
                <c:pt idx="743">
                  <c:v>54.8</c:v>
                </c:pt>
                <c:pt idx="744">
                  <c:v>54.4</c:v>
                </c:pt>
                <c:pt idx="745">
                  <c:v>54</c:v>
                </c:pt>
                <c:pt idx="746">
                  <c:v>53.6</c:v>
                </c:pt>
                <c:pt idx="747">
                  <c:v>53.2</c:v>
                </c:pt>
                <c:pt idx="748">
                  <c:v>52.9</c:v>
                </c:pt>
                <c:pt idx="749">
                  <c:v>52.5</c:v>
                </c:pt>
                <c:pt idx="750">
                  <c:v>52.2</c:v>
                </c:pt>
                <c:pt idx="751">
                  <c:v>51.8</c:v>
                </c:pt>
                <c:pt idx="752">
                  <c:v>51.5</c:v>
                </c:pt>
                <c:pt idx="753">
                  <c:v>51.2</c:v>
                </c:pt>
                <c:pt idx="754">
                  <c:v>50.9</c:v>
                </c:pt>
                <c:pt idx="755">
                  <c:v>50.6</c:v>
                </c:pt>
                <c:pt idx="756">
                  <c:v>50.2</c:v>
                </c:pt>
                <c:pt idx="757">
                  <c:v>49.9</c:v>
                </c:pt>
                <c:pt idx="758">
                  <c:v>49.7</c:v>
                </c:pt>
                <c:pt idx="759">
                  <c:v>49.4</c:v>
                </c:pt>
                <c:pt idx="760">
                  <c:v>49.1</c:v>
                </c:pt>
                <c:pt idx="761">
                  <c:v>48.8</c:v>
                </c:pt>
                <c:pt idx="762">
                  <c:v>48.5</c:v>
                </c:pt>
                <c:pt idx="763">
                  <c:v>48.3</c:v>
                </c:pt>
                <c:pt idx="764">
                  <c:v>48</c:v>
                </c:pt>
                <c:pt idx="765">
                  <c:v>47.8</c:v>
                </c:pt>
                <c:pt idx="766">
                  <c:v>47.5</c:v>
                </c:pt>
                <c:pt idx="767">
                  <c:v>47.3</c:v>
                </c:pt>
                <c:pt idx="768">
                  <c:v>47</c:v>
                </c:pt>
                <c:pt idx="769">
                  <c:v>46.8</c:v>
                </c:pt>
                <c:pt idx="770">
                  <c:v>46.6</c:v>
                </c:pt>
                <c:pt idx="771">
                  <c:v>46.3</c:v>
                </c:pt>
                <c:pt idx="772">
                  <c:v>46.1</c:v>
                </c:pt>
                <c:pt idx="773">
                  <c:v>45.9</c:v>
                </c:pt>
                <c:pt idx="774">
                  <c:v>45.7</c:v>
                </c:pt>
                <c:pt idx="775">
                  <c:v>45.5</c:v>
                </c:pt>
                <c:pt idx="776">
                  <c:v>45.3</c:v>
                </c:pt>
                <c:pt idx="777">
                  <c:v>45.1</c:v>
                </c:pt>
                <c:pt idx="778">
                  <c:v>44.9</c:v>
                </c:pt>
                <c:pt idx="779">
                  <c:v>44.7</c:v>
                </c:pt>
                <c:pt idx="780">
                  <c:v>44.5</c:v>
                </c:pt>
                <c:pt idx="781">
                  <c:v>44.3</c:v>
                </c:pt>
                <c:pt idx="782">
                  <c:v>44.1</c:v>
                </c:pt>
                <c:pt idx="783">
                  <c:v>43.9</c:v>
                </c:pt>
                <c:pt idx="784">
                  <c:v>43.8</c:v>
                </c:pt>
                <c:pt idx="785">
                  <c:v>43.6</c:v>
                </c:pt>
                <c:pt idx="786">
                  <c:v>43.4</c:v>
                </c:pt>
                <c:pt idx="787">
                  <c:v>43.3</c:v>
                </c:pt>
                <c:pt idx="788">
                  <c:v>43.1</c:v>
                </c:pt>
                <c:pt idx="789">
                  <c:v>42.9</c:v>
                </c:pt>
                <c:pt idx="790">
                  <c:v>42.8</c:v>
                </c:pt>
                <c:pt idx="791">
                  <c:v>42.6</c:v>
                </c:pt>
                <c:pt idx="792">
                  <c:v>42.5</c:v>
                </c:pt>
                <c:pt idx="793">
                  <c:v>42.3</c:v>
                </c:pt>
                <c:pt idx="794">
                  <c:v>42.2</c:v>
                </c:pt>
                <c:pt idx="795">
                  <c:v>42</c:v>
                </c:pt>
                <c:pt idx="796">
                  <c:v>41.9</c:v>
                </c:pt>
                <c:pt idx="797">
                  <c:v>41.8</c:v>
                </c:pt>
                <c:pt idx="798">
                  <c:v>41.6</c:v>
                </c:pt>
                <c:pt idx="799">
                  <c:v>41.5</c:v>
                </c:pt>
                <c:pt idx="800">
                  <c:v>41.4</c:v>
                </c:pt>
                <c:pt idx="801">
                  <c:v>41.3</c:v>
                </c:pt>
                <c:pt idx="802">
                  <c:v>41.1</c:v>
                </c:pt>
                <c:pt idx="803">
                  <c:v>41</c:v>
                </c:pt>
                <c:pt idx="804">
                  <c:v>40.9</c:v>
                </c:pt>
                <c:pt idx="805">
                  <c:v>40.799999999999997</c:v>
                </c:pt>
                <c:pt idx="806">
                  <c:v>40.700000000000003</c:v>
                </c:pt>
                <c:pt idx="807">
                  <c:v>40.5</c:v>
                </c:pt>
                <c:pt idx="808">
                  <c:v>40.4</c:v>
                </c:pt>
                <c:pt idx="809">
                  <c:v>40.299999999999997</c:v>
                </c:pt>
                <c:pt idx="810">
                  <c:v>40.200000000000003</c:v>
                </c:pt>
                <c:pt idx="811">
                  <c:v>40.1</c:v>
                </c:pt>
                <c:pt idx="812">
                  <c:v>40</c:v>
                </c:pt>
                <c:pt idx="813">
                  <c:v>39.9</c:v>
                </c:pt>
                <c:pt idx="814">
                  <c:v>39.799999999999997</c:v>
                </c:pt>
                <c:pt idx="815">
                  <c:v>39.700000000000003</c:v>
                </c:pt>
                <c:pt idx="816">
                  <c:v>39.6</c:v>
                </c:pt>
                <c:pt idx="817">
                  <c:v>39.5</c:v>
                </c:pt>
                <c:pt idx="818">
                  <c:v>39.5</c:v>
                </c:pt>
                <c:pt idx="819">
                  <c:v>39.4</c:v>
                </c:pt>
                <c:pt idx="820">
                  <c:v>39.299999999999997</c:v>
                </c:pt>
                <c:pt idx="821">
                  <c:v>39.200000000000003</c:v>
                </c:pt>
                <c:pt idx="822">
                  <c:v>39.1</c:v>
                </c:pt>
                <c:pt idx="823">
                  <c:v>39</c:v>
                </c:pt>
                <c:pt idx="824">
                  <c:v>39</c:v>
                </c:pt>
                <c:pt idx="825">
                  <c:v>38.9</c:v>
                </c:pt>
                <c:pt idx="826">
                  <c:v>38.799999999999997</c:v>
                </c:pt>
                <c:pt idx="827">
                  <c:v>38.700000000000003</c:v>
                </c:pt>
                <c:pt idx="828">
                  <c:v>38.700000000000003</c:v>
                </c:pt>
                <c:pt idx="829">
                  <c:v>38.6</c:v>
                </c:pt>
                <c:pt idx="830">
                  <c:v>38.5</c:v>
                </c:pt>
                <c:pt idx="831">
                  <c:v>38.5</c:v>
                </c:pt>
                <c:pt idx="832">
                  <c:v>38.4</c:v>
                </c:pt>
                <c:pt idx="833">
                  <c:v>38.299999999999997</c:v>
                </c:pt>
                <c:pt idx="834">
                  <c:v>38.299999999999997</c:v>
                </c:pt>
                <c:pt idx="835">
                  <c:v>38.200000000000003</c:v>
                </c:pt>
                <c:pt idx="836">
                  <c:v>38.1</c:v>
                </c:pt>
                <c:pt idx="837">
                  <c:v>38.1</c:v>
                </c:pt>
                <c:pt idx="838">
                  <c:v>38</c:v>
                </c:pt>
                <c:pt idx="839">
                  <c:v>38</c:v>
                </c:pt>
                <c:pt idx="840">
                  <c:v>37.9</c:v>
                </c:pt>
                <c:pt idx="841">
                  <c:v>37.9</c:v>
                </c:pt>
                <c:pt idx="842">
                  <c:v>37.799999999999997</c:v>
                </c:pt>
                <c:pt idx="843">
                  <c:v>37.799999999999997</c:v>
                </c:pt>
                <c:pt idx="844">
                  <c:v>37.700000000000003</c:v>
                </c:pt>
                <c:pt idx="845">
                  <c:v>37.700000000000003</c:v>
                </c:pt>
                <c:pt idx="846">
                  <c:v>37.6</c:v>
                </c:pt>
                <c:pt idx="847">
                  <c:v>37.6</c:v>
                </c:pt>
                <c:pt idx="848">
                  <c:v>37.5</c:v>
                </c:pt>
                <c:pt idx="849">
                  <c:v>37.5</c:v>
                </c:pt>
                <c:pt idx="850">
                  <c:v>37.4</c:v>
                </c:pt>
                <c:pt idx="851">
                  <c:v>37.4</c:v>
                </c:pt>
                <c:pt idx="852">
                  <c:v>37.4</c:v>
                </c:pt>
                <c:pt idx="853">
                  <c:v>37.299999999999997</c:v>
                </c:pt>
                <c:pt idx="854">
                  <c:v>37.299999999999997</c:v>
                </c:pt>
                <c:pt idx="855">
                  <c:v>37.200000000000003</c:v>
                </c:pt>
                <c:pt idx="856">
                  <c:v>37.200000000000003</c:v>
                </c:pt>
                <c:pt idx="857">
                  <c:v>37.200000000000003</c:v>
                </c:pt>
                <c:pt idx="858">
                  <c:v>37.1</c:v>
                </c:pt>
                <c:pt idx="859">
                  <c:v>37.1</c:v>
                </c:pt>
                <c:pt idx="860">
                  <c:v>37.1</c:v>
                </c:pt>
                <c:pt idx="861">
                  <c:v>37</c:v>
                </c:pt>
                <c:pt idx="862">
                  <c:v>37</c:v>
                </c:pt>
                <c:pt idx="863">
                  <c:v>37</c:v>
                </c:pt>
                <c:pt idx="864">
                  <c:v>37</c:v>
                </c:pt>
                <c:pt idx="865">
                  <c:v>36.9</c:v>
                </c:pt>
                <c:pt idx="866">
                  <c:v>36.9</c:v>
                </c:pt>
                <c:pt idx="867">
                  <c:v>36.9</c:v>
                </c:pt>
                <c:pt idx="868">
                  <c:v>36.9</c:v>
                </c:pt>
                <c:pt idx="869">
                  <c:v>36.799999999999997</c:v>
                </c:pt>
                <c:pt idx="870">
                  <c:v>36.799999999999997</c:v>
                </c:pt>
                <c:pt idx="871">
                  <c:v>36.799999999999997</c:v>
                </c:pt>
                <c:pt idx="872">
                  <c:v>36.799999999999997</c:v>
                </c:pt>
                <c:pt idx="873">
                  <c:v>36.700000000000003</c:v>
                </c:pt>
                <c:pt idx="874">
                  <c:v>36.700000000000003</c:v>
                </c:pt>
                <c:pt idx="875">
                  <c:v>36.700000000000003</c:v>
                </c:pt>
                <c:pt idx="876">
                  <c:v>36.700000000000003</c:v>
                </c:pt>
                <c:pt idx="877">
                  <c:v>36.700000000000003</c:v>
                </c:pt>
                <c:pt idx="878">
                  <c:v>36.700000000000003</c:v>
                </c:pt>
                <c:pt idx="879">
                  <c:v>36.700000000000003</c:v>
                </c:pt>
                <c:pt idx="880">
                  <c:v>36.6</c:v>
                </c:pt>
                <c:pt idx="881">
                  <c:v>36.6</c:v>
                </c:pt>
                <c:pt idx="882">
                  <c:v>36.6</c:v>
                </c:pt>
                <c:pt idx="883">
                  <c:v>36.6</c:v>
                </c:pt>
                <c:pt idx="884">
                  <c:v>36.6</c:v>
                </c:pt>
                <c:pt idx="885">
                  <c:v>36.6</c:v>
                </c:pt>
                <c:pt idx="886">
                  <c:v>36.6</c:v>
                </c:pt>
                <c:pt idx="887">
                  <c:v>36.6</c:v>
                </c:pt>
                <c:pt idx="888">
                  <c:v>36.6</c:v>
                </c:pt>
                <c:pt idx="889">
                  <c:v>36.6</c:v>
                </c:pt>
                <c:pt idx="890">
                  <c:v>36.6</c:v>
                </c:pt>
                <c:pt idx="891">
                  <c:v>36.5</c:v>
                </c:pt>
                <c:pt idx="892">
                  <c:v>36.5</c:v>
                </c:pt>
                <c:pt idx="893">
                  <c:v>36.5</c:v>
                </c:pt>
                <c:pt idx="894">
                  <c:v>36.5</c:v>
                </c:pt>
                <c:pt idx="895">
                  <c:v>36.5</c:v>
                </c:pt>
                <c:pt idx="896">
                  <c:v>36.5</c:v>
                </c:pt>
                <c:pt idx="897">
                  <c:v>36.5</c:v>
                </c:pt>
                <c:pt idx="898">
                  <c:v>36.5</c:v>
                </c:pt>
                <c:pt idx="899">
                  <c:v>36.5</c:v>
                </c:pt>
                <c:pt idx="900">
                  <c:v>36.5</c:v>
                </c:pt>
                <c:pt idx="901">
                  <c:v>36.5</c:v>
                </c:pt>
                <c:pt idx="902">
                  <c:v>36.5</c:v>
                </c:pt>
                <c:pt idx="903">
                  <c:v>36.6</c:v>
                </c:pt>
                <c:pt idx="904">
                  <c:v>36.6</c:v>
                </c:pt>
                <c:pt idx="905">
                  <c:v>36.6</c:v>
                </c:pt>
                <c:pt idx="906">
                  <c:v>36.6</c:v>
                </c:pt>
                <c:pt idx="907">
                  <c:v>36.6</c:v>
                </c:pt>
                <c:pt idx="908">
                  <c:v>36.6</c:v>
                </c:pt>
                <c:pt idx="909">
                  <c:v>36.6</c:v>
                </c:pt>
                <c:pt idx="910">
                  <c:v>36.6</c:v>
                </c:pt>
                <c:pt idx="911">
                  <c:v>36.6</c:v>
                </c:pt>
                <c:pt idx="912">
                  <c:v>36.6</c:v>
                </c:pt>
                <c:pt idx="913">
                  <c:v>36.6</c:v>
                </c:pt>
                <c:pt idx="914">
                  <c:v>36.6</c:v>
                </c:pt>
                <c:pt idx="915">
                  <c:v>36.700000000000003</c:v>
                </c:pt>
                <c:pt idx="916">
                  <c:v>36.700000000000003</c:v>
                </c:pt>
                <c:pt idx="917">
                  <c:v>36.700000000000003</c:v>
                </c:pt>
                <c:pt idx="918">
                  <c:v>36.700000000000003</c:v>
                </c:pt>
                <c:pt idx="919">
                  <c:v>36.700000000000003</c:v>
                </c:pt>
                <c:pt idx="920">
                  <c:v>36.700000000000003</c:v>
                </c:pt>
                <c:pt idx="921">
                  <c:v>36.700000000000003</c:v>
                </c:pt>
                <c:pt idx="922">
                  <c:v>36.799999999999997</c:v>
                </c:pt>
                <c:pt idx="923">
                  <c:v>36.799999999999997</c:v>
                </c:pt>
                <c:pt idx="924">
                  <c:v>36.799999999999997</c:v>
                </c:pt>
                <c:pt idx="925">
                  <c:v>36.799999999999997</c:v>
                </c:pt>
                <c:pt idx="926">
                  <c:v>36.799999999999997</c:v>
                </c:pt>
                <c:pt idx="927">
                  <c:v>36.9</c:v>
                </c:pt>
                <c:pt idx="928">
                  <c:v>36.9</c:v>
                </c:pt>
                <c:pt idx="929">
                  <c:v>36.9</c:v>
                </c:pt>
                <c:pt idx="930">
                  <c:v>36.9</c:v>
                </c:pt>
                <c:pt idx="931">
                  <c:v>36.9</c:v>
                </c:pt>
                <c:pt idx="932">
                  <c:v>37</c:v>
                </c:pt>
                <c:pt idx="933">
                  <c:v>37</c:v>
                </c:pt>
                <c:pt idx="934">
                  <c:v>37</c:v>
                </c:pt>
                <c:pt idx="935">
                  <c:v>37</c:v>
                </c:pt>
                <c:pt idx="936">
                  <c:v>37.1</c:v>
                </c:pt>
                <c:pt idx="937">
                  <c:v>37.1</c:v>
                </c:pt>
                <c:pt idx="938">
                  <c:v>37.1</c:v>
                </c:pt>
                <c:pt idx="939">
                  <c:v>37.1</c:v>
                </c:pt>
                <c:pt idx="940">
                  <c:v>37.200000000000003</c:v>
                </c:pt>
                <c:pt idx="941">
                  <c:v>37.200000000000003</c:v>
                </c:pt>
                <c:pt idx="942">
                  <c:v>37.200000000000003</c:v>
                </c:pt>
                <c:pt idx="943">
                  <c:v>37.299999999999997</c:v>
                </c:pt>
                <c:pt idx="944">
                  <c:v>37.299999999999997</c:v>
                </c:pt>
                <c:pt idx="945">
                  <c:v>37.299999999999997</c:v>
                </c:pt>
                <c:pt idx="946">
                  <c:v>37.299999999999997</c:v>
                </c:pt>
                <c:pt idx="947">
                  <c:v>37.4</c:v>
                </c:pt>
                <c:pt idx="948">
                  <c:v>37.4</c:v>
                </c:pt>
                <c:pt idx="949">
                  <c:v>37.4</c:v>
                </c:pt>
                <c:pt idx="950">
                  <c:v>37.5</c:v>
                </c:pt>
                <c:pt idx="951">
                  <c:v>37.5</c:v>
                </c:pt>
                <c:pt idx="952">
                  <c:v>37.5</c:v>
                </c:pt>
                <c:pt idx="953">
                  <c:v>37.6</c:v>
                </c:pt>
                <c:pt idx="954">
                  <c:v>37.6</c:v>
                </c:pt>
                <c:pt idx="955">
                  <c:v>37.700000000000003</c:v>
                </c:pt>
                <c:pt idx="956">
                  <c:v>37.700000000000003</c:v>
                </c:pt>
                <c:pt idx="957">
                  <c:v>37.700000000000003</c:v>
                </c:pt>
                <c:pt idx="958">
                  <c:v>37.799999999999997</c:v>
                </c:pt>
                <c:pt idx="959">
                  <c:v>37.799999999999997</c:v>
                </c:pt>
                <c:pt idx="960">
                  <c:v>37.9</c:v>
                </c:pt>
                <c:pt idx="961">
                  <c:v>37.9</c:v>
                </c:pt>
                <c:pt idx="962">
                  <c:v>37.9</c:v>
                </c:pt>
                <c:pt idx="963">
                  <c:v>38</c:v>
                </c:pt>
                <c:pt idx="964">
                  <c:v>38</c:v>
                </c:pt>
                <c:pt idx="965">
                  <c:v>38.1</c:v>
                </c:pt>
                <c:pt idx="966">
                  <c:v>38.1</c:v>
                </c:pt>
                <c:pt idx="967">
                  <c:v>38.200000000000003</c:v>
                </c:pt>
                <c:pt idx="968">
                  <c:v>38.200000000000003</c:v>
                </c:pt>
                <c:pt idx="969">
                  <c:v>38.200000000000003</c:v>
                </c:pt>
                <c:pt idx="970">
                  <c:v>38.299999999999997</c:v>
                </c:pt>
                <c:pt idx="971">
                  <c:v>38.299999999999997</c:v>
                </c:pt>
                <c:pt idx="972">
                  <c:v>38.4</c:v>
                </c:pt>
                <c:pt idx="973">
                  <c:v>38.4</c:v>
                </c:pt>
                <c:pt idx="974">
                  <c:v>38.5</c:v>
                </c:pt>
                <c:pt idx="975">
                  <c:v>38.5</c:v>
                </c:pt>
                <c:pt idx="976">
                  <c:v>38.6</c:v>
                </c:pt>
                <c:pt idx="977">
                  <c:v>38.6</c:v>
                </c:pt>
                <c:pt idx="978">
                  <c:v>38.700000000000003</c:v>
                </c:pt>
                <c:pt idx="979">
                  <c:v>38.799999999999997</c:v>
                </c:pt>
                <c:pt idx="980">
                  <c:v>38.799999999999997</c:v>
                </c:pt>
                <c:pt idx="981">
                  <c:v>38.9</c:v>
                </c:pt>
                <c:pt idx="982">
                  <c:v>38.9</c:v>
                </c:pt>
                <c:pt idx="983">
                  <c:v>39</c:v>
                </c:pt>
                <c:pt idx="984">
                  <c:v>39</c:v>
                </c:pt>
                <c:pt idx="985">
                  <c:v>39.1</c:v>
                </c:pt>
                <c:pt idx="986">
                  <c:v>39.200000000000003</c:v>
                </c:pt>
                <c:pt idx="987">
                  <c:v>39.200000000000003</c:v>
                </c:pt>
                <c:pt idx="988">
                  <c:v>39.299999999999997</c:v>
                </c:pt>
                <c:pt idx="989">
                  <c:v>39.299999999999997</c:v>
                </c:pt>
                <c:pt idx="990">
                  <c:v>39.4</c:v>
                </c:pt>
                <c:pt idx="991">
                  <c:v>39.5</c:v>
                </c:pt>
                <c:pt idx="992">
                  <c:v>39.5</c:v>
                </c:pt>
                <c:pt idx="993">
                  <c:v>39.6</c:v>
                </c:pt>
                <c:pt idx="994">
                  <c:v>39.700000000000003</c:v>
                </c:pt>
                <c:pt idx="995">
                  <c:v>39.700000000000003</c:v>
                </c:pt>
                <c:pt idx="996">
                  <c:v>39.799999999999997</c:v>
                </c:pt>
                <c:pt idx="997">
                  <c:v>39.9</c:v>
                </c:pt>
                <c:pt idx="998">
                  <c:v>39.9</c:v>
                </c:pt>
                <c:pt idx="999">
                  <c:v>40</c:v>
                </c:pt>
                <c:pt idx="1000">
                  <c:v>40.1</c:v>
                </c:pt>
                <c:pt idx="1001">
                  <c:v>40.1</c:v>
                </c:pt>
                <c:pt idx="1002">
                  <c:v>40.200000000000003</c:v>
                </c:pt>
                <c:pt idx="1003">
                  <c:v>40.299999999999997</c:v>
                </c:pt>
                <c:pt idx="1004">
                  <c:v>40.4</c:v>
                </c:pt>
                <c:pt idx="1005">
                  <c:v>40.4</c:v>
                </c:pt>
                <c:pt idx="1006">
                  <c:v>40.5</c:v>
                </c:pt>
                <c:pt idx="1007">
                  <c:v>40.6</c:v>
                </c:pt>
                <c:pt idx="1008">
                  <c:v>40.700000000000003</c:v>
                </c:pt>
                <c:pt idx="1009">
                  <c:v>40.799999999999997</c:v>
                </c:pt>
                <c:pt idx="1010">
                  <c:v>40.799999999999997</c:v>
                </c:pt>
                <c:pt idx="1011">
                  <c:v>40.9</c:v>
                </c:pt>
                <c:pt idx="1012">
                  <c:v>41</c:v>
                </c:pt>
                <c:pt idx="1013">
                  <c:v>41.1</c:v>
                </c:pt>
                <c:pt idx="1014">
                  <c:v>41.2</c:v>
                </c:pt>
                <c:pt idx="1015">
                  <c:v>41.3</c:v>
                </c:pt>
                <c:pt idx="1016">
                  <c:v>41.4</c:v>
                </c:pt>
                <c:pt idx="1017">
                  <c:v>41.5</c:v>
                </c:pt>
                <c:pt idx="1018">
                  <c:v>41.6</c:v>
                </c:pt>
                <c:pt idx="1019">
                  <c:v>41.6</c:v>
                </c:pt>
                <c:pt idx="1020">
                  <c:v>41.7</c:v>
                </c:pt>
                <c:pt idx="1021">
                  <c:v>41.8</c:v>
                </c:pt>
                <c:pt idx="1022">
                  <c:v>41.9</c:v>
                </c:pt>
                <c:pt idx="1023">
                  <c:v>42</c:v>
                </c:pt>
                <c:pt idx="1024">
                  <c:v>42.1</c:v>
                </c:pt>
                <c:pt idx="1025">
                  <c:v>42.2</c:v>
                </c:pt>
                <c:pt idx="1026">
                  <c:v>42.3</c:v>
                </c:pt>
                <c:pt idx="1027">
                  <c:v>42.5</c:v>
                </c:pt>
                <c:pt idx="1028">
                  <c:v>42.6</c:v>
                </c:pt>
                <c:pt idx="1029">
                  <c:v>42.7</c:v>
                </c:pt>
                <c:pt idx="1030">
                  <c:v>42.8</c:v>
                </c:pt>
                <c:pt idx="1031">
                  <c:v>42.9</c:v>
                </c:pt>
                <c:pt idx="1032">
                  <c:v>43</c:v>
                </c:pt>
                <c:pt idx="1033">
                  <c:v>43.1</c:v>
                </c:pt>
                <c:pt idx="1034">
                  <c:v>43.2</c:v>
                </c:pt>
                <c:pt idx="1035">
                  <c:v>43.4</c:v>
                </c:pt>
                <c:pt idx="1036">
                  <c:v>43.5</c:v>
                </c:pt>
                <c:pt idx="1037">
                  <c:v>43.6</c:v>
                </c:pt>
                <c:pt idx="1038">
                  <c:v>43.7</c:v>
                </c:pt>
                <c:pt idx="1039">
                  <c:v>43.9</c:v>
                </c:pt>
                <c:pt idx="1040">
                  <c:v>44</c:v>
                </c:pt>
                <c:pt idx="1041">
                  <c:v>44.1</c:v>
                </c:pt>
                <c:pt idx="1042">
                  <c:v>44.3</c:v>
                </c:pt>
                <c:pt idx="1043">
                  <c:v>44.4</c:v>
                </c:pt>
                <c:pt idx="1044">
                  <c:v>44.5</c:v>
                </c:pt>
                <c:pt idx="1045">
                  <c:v>44.7</c:v>
                </c:pt>
                <c:pt idx="1046">
                  <c:v>44.8</c:v>
                </c:pt>
                <c:pt idx="1047">
                  <c:v>45</c:v>
                </c:pt>
                <c:pt idx="1048">
                  <c:v>45.1</c:v>
                </c:pt>
                <c:pt idx="1049">
                  <c:v>45.3</c:v>
                </c:pt>
                <c:pt idx="1050">
                  <c:v>45.4</c:v>
                </c:pt>
                <c:pt idx="1051">
                  <c:v>45.6</c:v>
                </c:pt>
                <c:pt idx="1052">
                  <c:v>45.8</c:v>
                </c:pt>
                <c:pt idx="1053">
                  <c:v>45.9</c:v>
                </c:pt>
                <c:pt idx="1054">
                  <c:v>46.1</c:v>
                </c:pt>
                <c:pt idx="1055">
                  <c:v>46.3</c:v>
                </c:pt>
                <c:pt idx="1056">
                  <c:v>46.4</c:v>
                </c:pt>
                <c:pt idx="1057">
                  <c:v>46.6</c:v>
                </c:pt>
                <c:pt idx="1058">
                  <c:v>46.8</c:v>
                </c:pt>
                <c:pt idx="1059">
                  <c:v>47</c:v>
                </c:pt>
                <c:pt idx="1060">
                  <c:v>47.2</c:v>
                </c:pt>
                <c:pt idx="1061">
                  <c:v>47.4</c:v>
                </c:pt>
                <c:pt idx="1062">
                  <c:v>47.6</c:v>
                </c:pt>
                <c:pt idx="1063">
                  <c:v>47.8</c:v>
                </c:pt>
                <c:pt idx="1064">
                  <c:v>48</c:v>
                </c:pt>
                <c:pt idx="1065">
                  <c:v>48.2</c:v>
                </c:pt>
                <c:pt idx="1066">
                  <c:v>48.4</c:v>
                </c:pt>
                <c:pt idx="1067">
                  <c:v>48.6</c:v>
                </c:pt>
                <c:pt idx="1068">
                  <c:v>48.8</c:v>
                </c:pt>
                <c:pt idx="1069">
                  <c:v>49.1</c:v>
                </c:pt>
                <c:pt idx="1070">
                  <c:v>49.3</c:v>
                </c:pt>
                <c:pt idx="1071">
                  <c:v>49.5</c:v>
                </c:pt>
                <c:pt idx="1072">
                  <c:v>49.8</c:v>
                </c:pt>
                <c:pt idx="1073">
                  <c:v>50</c:v>
                </c:pt>
                <c:pt idx="1074">
                  <c:v>50.3</c:v>
                </c:pt>
                <c:pt idx="1075">
                  <c:v>50.6</c:v>
                </c:pt>
                <c:pt idx="1076">
                  <c:v>50.8</c:v>
                </c:pt>
                <c:pt idx="1077">
                  <c:v>51.1</c:v>
                </c:pt>
                <c:pt idx="1078">
                  <c:v>51.4</c:v>
                </c:pt>
                <c:pt idx="1079">
                  <c:v>51.7</c:v>
                </c:pt>
                <c:pt idx="1080">
                  <c:v>52</c:v>
                </c:pt>
                <c:pt idx="1081">
                  <c:v>52.3</c:v>
                </c:pt>
                <c:pt idx="1082">
                  <c:v>52.6</c:v>
                </c:pt>
                <c:pt idx="1083">
                  <c:v>52.9</c:v>
                </c:pt>
                <c:pt idx="1084">
                  <c:v>53.3</c:v>
                </c:pt>
                <c:pt idx="1085">
                  <c:v>53.6</c:v>
                </c:pt>
                <c:pt idx="1086">
                  <c:v>54</c:v>
                </c:pt>
                <c:pt idx="1087">
                  <c:v>54.3</c:v>
                </c:pt>
                <c:pt idx="1088">
                  <c:v>54.7</c:v>
                </c:pt>
                <c:pt idx="1089">
                  <c:v>55.1</c:v>
                </c:pt>
                <c:pt idx="1090">
                  <c:v>55.5</c:v>
                </c:pt>
                <c:pt idx="1091">
                  <c:v>55.9</c:v>
                </c:pt>
                <c:pt idx="1092">
                  <c:v>56.3</c:v>
                </c:pt>
                <c:pt idx="1093">
                  <c:v>56.7</c:v>
                </c:pt>
                <c:pt idx="1094">
                  <c:v>57.2</c:v>
                </c:pt>
                <c:pt idx="1095">
                  <c:v>57.6</c:v>
                </c:pt>
                <c:pt idx="1096">
                  <c:v>58.1</c:v>
                </c:pt>
                <c:pt idx="1097">
                  <c:v>58.6</c:v>
                </c:pt>
                <c:pt idx="1098">
                  <c:v>59.1</c:v>
                </c:pt>
                <c:pt idx="1099">
                  <c:v>59.6</c:v>
                </c:pt>
                <c:pt idx="1100">
                  <c:v>60.1</c:v>
                </c:pt>
                <c:pt idx="1101">
                  <c:v>60.7</c:v>
                </c:pt>
                <c:pt idx="1102">
                  <c:v>61.2</c:v>
                </c:pt>
                <c:pt idx="1103">
                  <c:v>61.8</c:v>
                </c:pt>
                <c:pt idx="1104">
                  <c:v>62.4</c:v>
                </c:pt>
                <c:pt idx="1105">
                  <c:v>63.1</c:v>
                </c:pt>
                <c:pt idx="1106">
                  <c:v>63.7</c:v>
                </c:pt>
                <c:pt idx="1107">
                  <c:v>64.400000000000006</c:v>
                </c:pt>
                <c:pt idx="1108">
                  <c:v>65.099999999999994</c:v>
                </c:pt>
                <c:pt idx="1109">
                  <c:v>65.8</c:v>
                </c:pt>
                <c:pt idx="1110">
                  <c:v>66.599999999999994</c:v>
                </c:pt>
                <c:pt idx="1111">
                  <c:v>67.400000000000006</c:v>
                </c:pt>
                <c:pt idx="1112">
                  <c:v>68.2</c:v>
                </c:pt>
                <c:pt idx="1113">
                  <c:v>69</c:v>
                </c:pt>
                <c:pt idx="1114">
                  <c:v>69.900000000000006</c:v>
                </c:pt>
                <c:pt idx="1115">
                  <c:v>70.900000000000006</c:v>
                </c:pt>
                <c:pt idx="1116">
                  <c:v>71.8</c:v>
                </c:pt>
                <c:pt idx="1117">
                  <c:v>72.8</c:v>
                </c:pt>
                <c:pt idx="1118">
                  <c:v>73.8</c:v>
                </c:pt>
                <c:pt idx="1119">
                  <c:v>74.900000000000006</c:v>
                </c:pt>
                <c:pt idx="1120">
                  <c:v>76</c:v>
                </c:pt>
                <c:pt idx="1121">
                  <c:v>77.2</c:v>
                </c:pt>
                <c:pt idx="1122">
                  <c:v>78.5</c:v>
                </c:pt>
                <c:pt idx="1123">
                  <c:v>79.7</c:v>
                </c:pt>
                <c:pt idx="1124">
                  <c:v>81.099999999999994</c:v>
                </c:pt>
                <c:pt idx="1125">
                  <c:v>82.5</c:v>
                </c:pt>
                <c:pt idx="1126">
                  <c:v>84</c:v>
                </c:pt>
                <c:pt idx="1127">
                  <c:v>85.5</c:v>
                </c:pt>
                <c:pt idx="1128">
                  <c:v>87.1</c:v>
                </c:pt>
                <c:pt idx="1129">
                  <c:v>88.8</c:v>
                </c:pt>
                <c:pt idx="1130">
                  <c:v>90.6</c:v>
                </c:pt>
                <c:pt idx="1131">
                  <c:v>92.5</c:v>
                </c:pt>
                <c:pt idx="1132">
                  <c:v>94.4</c:v>
                </c:pt>
                <c:pt idx="1133">
                  <c:v>96.5</c:v>
                </c:pt>
                <c:pt idx="1134">
                  <c:v>98.7</c:v>
                </c:pt>
                <c:pt idx="1135">
                  <c:v>101</c:v>
                </c:pt>
                <c:pt idx="1136">
                  <c:v>103.4</c:v>
                </c:pt>
                <c:pt idx="1137">
                  <c:v>105.9</c:v>
                </c:pt>
                <c:pt idx="1138">
                  <c:v>108.6</c:v>
                </c:pt>
                <c:pt idx="1139">
                  <c:v>111.4</c:v>
                </c:pt>
                <c:pt idx="1140">
                  <c:v>114.4</c:v>
                </c:pt>
                <c:pt idx="1141">
                  <c:v>117.5</c:v>
                </c:pt>
                <c:pt idx="1142">
                  <c:v>120.8</c:v>
                </c:pt>
                <c:pt idx="1143">
                  <c:v>124.3</c:v>
                </c:pt>
                <c:pt idx="1144">
                  <c:v>128</c:v>
                </c:pt>
                <c:pt idx="1145">
                  <c:v>131.9</c:v>
                </c:pt>
                <c:pt idx="1146">
                  <c:v>136</c:v>
                </c:pt>
                <c:pt idx="1147">
                  <c:v>140.30000000000001</c:v>
                </c:pt>
                <c:pt idx="1148">
                  <c:v>144.9</c:v>
                </c:pt>
                <c:pt idx="1149">
                  <c:v>149.69999999999999</c:v>
                </c:pt>
                <c:pt idx="1150">
                  <c:v>154.80000000000001</c:v>
                </c:pt>
                <c:pt idx="1151">
                  <c:v>160.1</c:v>
                </c:pt>
                <c:pt idx="1152">
                  <c:v>165.7</c:v>
                </c:pt>
                <c:pt idx="1153">
                  <c:v>171.6</c:v>
                </c:pt>
                <c:pt idx="1154">
                  <c:v>177.7</c:v>
                </c:pt>
                <c:pt idx="1155">
                  <c:v>184</c:v>
                </c:pt>
                <c:pt idx="1156">
                  <c:v>190.6</c:v>
                </c:pt>
                <c:pt idx="1157">
                  <c:v>197.4</c:v>
                </c:pt>
                <c:pt idx="1158">
                  <c:v>204.3</c:v>
                </c:pt>
                <c:pt idx="1159">
                  <c:v>211.3</c:v>
                </c:pt>
                <c:pt idx="1160">
                  <c:v>218.4</c:v>
                </c:pt>
                <c:pt idx="1161">
                  <c:v>225.4</c:v>
                </c:pt>
                <c:pt idx="1162">
                  <c:v>232.3</c:v>
                </c:pt>
                <c:pt idx="1163">
                  <c:v>238.9</c:v>
                </c:pt>
                <c:pt idx="1164">
                  <c:v>245.1</c:v>
                </c:pt>
                <c:pt idx="1165">
                  <c:v>250.8</c:v>
                </c:pt>
                <c:pt idx="1166">
                  <c:v>255.9</c:v>
                </c:pt>
                <c:pt idx="1167">
                  <c:v>260.3</c:v>
                </c:pt>
                <c:pt idx="1168">
                  <c:v>264</c:v>
                </c:pt>
                <c:pt idx="1169">
                  <c:v>266.89999999999998</c:v>
                </c:pt>
                <c:pt idx="1170">
                  <c:v>269.10000000000002</c:v>
                </c:pt>
                <c:pt idx="1171">
                  <c:v>270.7</c:v>
                </c:pt>
                <c:pt idx="1172">
                  <c:v>271.89999999999998</c:v>
                </c:pt>
                <c:pt idx="1173">
                  <c:v>272.7</c:v>
                </c:pt>
                <c:pt idx="1174">
                  <c:v>273.3</c:v>
                </c:pt>
                <c:pt idx="1175">
                  <c:v>273.7</c:v>
                </c:pt>
                <c:pt idx="1176">
                  <c:v>274</c:v>
                </c:pt>
                <c:pt idx="1177">
                  <c:v>274.10000000000002</c:v>
                </c:pt>
                <c:pt idx="1178">
                  <c:v>274.10000000000002</c:v>
                </c:pt>
                <c:pt idx="1179">
                  <c:v>274</c:v>
                </c:pt>
                <c:pt idx="1180">
                  <c:v>273.8</c:v>
                </c:pt>
                <c:pt idx="1181">
                  <c:v>273.3</c:v>
                </c:pt>
                <c:pt idx="1182">
                  <c:v>272.8</c:v>
                </c:pt>
                <c:pt idx="1183">
                  <c:v>271.89999999999998</c:v>
                </c:pt>
                <c:pt idx="1184">
                  <c:v>270.8</c:v>
                </c:pt>
                <c:pt idx="1185">
                  <c:v>269.2</c:v>
                </c:pt>
                <c:pt idx="1186">
                  <c:v>267</c:v>
                </c:pt>
                <c:pt idx="1187">
                  <c:v>264.2</c:v>
                </c:pt>
                <c:pt idx="1188">
                  <c:v>260.60000000000002</c:v>
                </c:pt>
                <c:pt idx="1189">
                  <c:v>256.2</c:v>
                </c:pt>
                <c:pt idx="1190">
                  <c:v>251.2</c:v>
                </c:pt>
              </c:numCache>
            </c:numRef>
          </c:yVal>
          <c:smooth val="1"/>
          <c:extLst>
            <c:ext xmlns:c16="http://schemas.microsoft.com/office/drawing/2014/chart" uri="{C3380CC4-5D6E-409C-BE32-E72D297353CC}">
              <c16:uniqueId val="{00000001-D0C2-4062-87FE-5E1C210436C2}"/>
            </c:ext>
          </c:extLst>
        </c:ser>
        <c:ser>
          <c:idx val="5"/>
          <c:order val="2"/>
          <c:tx>
            <c:strRef>
              <c:f>Tatm!$M$5</c:f>
              <c:strCache>
                <c:ptCount val="1"/>
                <c:pt idx="0">
                  <c:v>13</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Tatm!$M$6:$M$1196</c:f>
              <c:numCache>
                <c:formatCode>General</c:formatCode>
                <c:ptCount val="1191"/>
                <c:pt idx="0">
                  <c:v>5.0999999999999996</c:v>
                </c:pt>
                <c:pt idx="1">
                  <c:v>5.0999999999999996</c:v>
                </c:pt>
                <c:pt idx="2">
                  <c:v>5.0999999999999996</c:v>
                </c:pt>
                <c:pt idx="3">
                  <c:v>5.2</c:v>
                </c:pt>
                <c:pt idx="4">
                  <c:v>5.2</c:v>
                </c:pt>
                <c:pt idx="5">
                  <c:v>5.2</c:v>
                </c:pt>
                <c:pt idx="6">
                  <c:v>5.2</c:v>
                </c:pt>
                <c:pt idx="7">
                  <c:v>5.2</c:v>
                </c:pt>
                <c:pt idx="8">
                  <c:v>5.2</c:v>
                </c:pt>
                <c:pt idx="9">
                  <c:v>5.3</c:v>
                </c:pt>
                <c:pt idx="10">
                  <c:v>5.3</c:v>
                </c:pt>
                <c:pt idx="11">
                  <c:v>5.3</c:v>
                </c:pt>
                <c:pt idx="12">
                  <c:v>5.3</c:v>
                </c:pt>
                <c:pt idx="13">
                  <c:v>5.3</c:v>
                </c:pt>
                <c:pt idx="14">
                  <c:v>5.3</c:v>
                </c:pt>
                <c:pt idx="15">
                  <c:v>5.3</c:v>
                </c:pt>
                <c:pt idx="16">
                  <c:v>5.3</c:v>
                </c:pt>
                <c:pt idx="17">
                  <c:v>5.3</c:v>
                </c:pt>
                <c:pt idx="18">
                  <c:v>5.3</c:v>
                </c:pt>
                <c:pt idx="19">
                  <c:v>5.3</c:v>
                </c:pt>
                <c:pt idx="20">
                  <c:v>5.4</c:v>
                </c:pt>
                <c:pt idx="21">
                  <c:v>5.4</c:v>
                </c:pt>
                <c:pt idx="22">
                  <c:v>5.4</c:v>
                </c:pt>
                <c:pt idx="23">
                  <c:v>5.4</c:v>
                </c:pt>
                <c:pt idx="24">
                  <c:v>5.4</c:v>
                </c:pt>
                <c:pt idx="25">
                  <c:v>5.4</c:v>
                </c:pt>
                <c:pt idx="26">
                  <c:v>5.4</c:v>
                </c:pt>
                <c:pt idx="27">
                  <c:v>5.4</c:v>
                </c:pt>
                <c:pt idx="28">
                  <c:v>5.4</c:v>
                </c:pt>
                <c:pt idx="29">
                  <c:v>5.4</c:v>
                </c:pt>
                <c:pt idx="30">
                  <c:v>5.4</c:v>
                </c:pt>
                <c:pt idx="31">
                  <c:v>5.5</c:v>
                </c:pt>
                <c:pt idx="32">
                  <c:v>5.5</c:v>
                </c:pt>
                <c:pt idx="33">
                  <c:v>5.5</c:v>
                </c:pt>
                <c:pt idx="34">
                  <c:v>5.5</c:v>
                </c:pt>
                <c:pt idx="35">
                  <c:v>5.5</c:v>
                </c:pt>
                <c:pt idx="36">
                  <c:v>5.5</c:v>
                </c:pt>
                <c:pt idx="37">
                  <c:v>5.5</c:v>
                </c:pt>
                <c:pt idx="38">
                  <c:v>5.5</c:v>
                </c:pt>
                <c:pt idx="39">
                  <c:v>5.5</c:v>
                </c:pt>
                <c:pt idx="40">
                  <c:v>5.5</c:v>
                </c:pt>
                <c:pt idx="41">
                  <c:v>5.6</c:v>
                </c:pt>
                <c:pt idx="42">
                  <c:v>5.6</c:v>
                </c:pt>
                <c:pt idx="43">
                  <c:v>5.6</c:v>
                </c:pt>
                <c:pt idx="44">
                  <c:v>5.6</c:v>
                </c:pt>
                <c:pt idx="45">
                  <c:v>5.6</c:v>
                </c:pt>
                <c:pt idx="46">
                  <c:v>5.6</c:v>
                </c:pt>
                <c:pt idx="47">
                  <c:v>5.6</c:v>
                </c:pt>
                <c:pt idx="48">
                  <c:v>5.6</c:v>
                </c:pt>
                <c:pt idx="49">
                  <c:v>5.6</c:v>
                </c:pt>
                <c:pt idx="50">
                  <c:v>5.7</c:v>
                </c:pt>
                <c:pt idx="51">
                  <c:v>5.7</c:v>
                </c:pt>
                <c:pt idx="52">
                  <c:v>5.7</c:v>
                </c:pt>
                <c:pt idx="53">
                  <c:v>5.7</c:v>
                </c:pt>
                <c:pt idx="54">
                  <c:v>5.7</c:v>
                </c:pt>
                <c:pt idx="55">
                  <c:v>5.7</c:v>
                </c:pt>
                <c:pt idx="56">
                  <c:v>5.7</c:v>
                </c:pt>
                <c:pt idx="57">
                  <c:v>5.8</c:v>
                </c:pt>
                <c:pt idx="58">
                  <c:v>5.8</c:v>
                </c:pt>
                <c:pt idx="59">
                  <c:v>5.8</c:v>
                </c:pt>
                <c:pt idx="60">
                  <c:v>5.8</c:v>
                </c:pt>
                <c:pt idx="61">
                  <c:v>5.8</c:v>
                </c:pt>
                <c:pt idx="62">
                  <c:v>5.8</c:v>
                </c:pt>
                <c:pt idx="63">
                  <c:v>5.9</c:v>
                </c:pt>
                <c:pt idx="64">
                  <c:v>5.9</c:v>
                </c:pt>
                <c:pt idx="65">
                  <c:v>5.9</c:v>
                </c:pt>
                <c:pt idx="66">
                  <c:v>5.9</c:v>
                </c:pt>
                <c:pt idx="67">
                  <c:v>5.9</c:v>
                </c:pt>
                <c:pt idx="68">
                  <c:v>5.9</c:v>
                </c:pt>
                <c:pt idx="69">
                  <c:v>6</c:v>
                </c:pt>
                <c:pt idx="70">
                  <c:v>6</c:v>
                </c:pt>
                <c:pt idx="71">
                  <c:v>6</c:v>
                </c:pt>
                <c:pt idx="72">
                  <c:v>6</c:v>
                </c:pt>
                <c:pt idx="73">
                  <c:v>6</c:v>
                </c:pt>
                <c:pt idx="74">
                  <c:v>6.1</c:v>
                </c:pt>
                <c:pt idx="75">
                  <c:v>6.1</c:v>
                </c:pt>
                <c:pt idx="76">
                  <c:v>6.1</c:v>
                </c:pt>
                <c:pt idx="77">
                  <c:v>6.1</c:v>
                </c:pt>
                <c:pt idx="78">
                  <c:v>6.1</c:v>
                </c:pt>
                <c:pt idx="79">
                  <c:v>6.2</c:v>
                </c:pt>
                <c:pt idx="80">
                  <c:v>6.2</c:v>
                </c:pt>
                <c:pt idx="81">
                  <c:v>6.2</c:v>
                </c:pt>
                <c:pt idx="82">
                  <c:v>6.2</c:v>
                </c:pt>
                <c:pt idx="83">
                  <c:v>6.3</c:v>
                </c:pt>
                <c:pt idx="84">
                  <c:v>6.3</c:v>
                </c:pt>
                <c:pt idx="85">
                  <c:v>6.3</c:v>
                </c:pt>
                <c:pt idx="86">
                  <c:v>6.3</c:v>
                </c:pt>
                <c:pt idx="87">
                  <c:v>6.3</c:v>
                </c:pt>
                <c:pt idx="88">
                  <c:v>6.4</c:v>
                </c:pt>
                <c:pt idx="89">
                  <c:v>6.4</c:v>
                </c:pt>
                <c:pt idx="90">
                  <c:v>6.4</c:v>
                </c:pt>
                <c:pt idx="91">
                  <c:v>6.5</c:v>
                </c:pt>
                <c:pt idx="92">
                  <c:v>6.5</c:v>
                </c:pt>
                <c:pt idx="93">
                  <c:v>6.5</c:v>
                </c:pt>
                <c:pt idx="94">
                  <c:v>6.5</c:v>
                </c:pt>
                <c:pt idx="95">
                  <c:v>6.6</c:v>
                </c:pt>
                <c:pt idx="96">
                  <c:v>6.6</c:v>
                </c:pt>
                <c:pt idx="97">
                  <c:v>6.6</c:v>
                </c:pt>
                <c:pt idx="98">
                  <c:v>6.7</c:v>
                </c:pt>
                <c:pt idx="99">
                  <c:v>6.7</c:v>
                </c:pt>
                <c:pt idx="100">
                  <c:v>6.7</c:v>
                </c:pt>
                <c:pt idx="101">
                  <c:v>6.8</c:v>
                </c:pt>
                <c:pt idx="102">
                  <c:v>6.8</c:v>
                </c:pt>
                <c:pt idx="103">
                  <c:v>6.8</c:v>
                </c:pt>
                <c:pt idx="104">
                  <c:v>6.9</c:v>
                </c:pt>
                <c:pt idx="105">
                  <c:v>6.9</c:v>
                </c:pt>
                <c:pt idx="106">
                  <c:v>6.9</c:v>
                </c:pt>
                <c:pt idx="107">
                  <c:v>7</c:v>
                </c:pt>
                <c:pt idx="108">
                  <c:v>7</c:v>
                </c:pt>
                <c:pt idx="109">
                  <c:v>7</c:v>
                </c:pt>
                <c:pt idx="110">
                  <c:v>7.1</c:v>
                </c:pt>
                <c:pt idx="111">
                  <c:v>7.1</c:v>
                </c:pt>
                <c:pt idx="112">
                  <c:v>7.2</c:v>
                </c:pt>
                <c:pt idx="113">
                  <c:v>7.2</c:v>
                </c:pt>
                <c:pt idx="114">
                  <c:v>7.2</c:v>
                </c:pt>
                <c:pt idx="115">
                  <c:v>7.3</c:v>
                </c:pt>
                <c:pt idx="116">
                  <c:v>7.3</c:v>
                </c:pt>
                <c:pt idx="117">
                  <c:v>7.4</c:v>
                </c:pt>
                <c:pt idx="118">
                  <c:v>7.4</c:v>
                </c:pt>
                <c:pt idx="119">
                  <c:v>7.5</c:v>
                </c:pt>
                <c:pt idx="120">
                  <c:v>7.5</c:v>
                </c:pt>
                <c:pt idx="121">
                  <c:v>7.6</c:v>
                </c:pt>
                <c:pt idx="122">
                  <c:v>7.6</c:v>
                </c:pt>
                <c:pt idx="123">
                  <c:v>7.7</c:v>
                </c:pt>
                <c:pt idx="124">
                  <c:v>7.7</c:v>
                </c:pt>
                <c:pt idx="125">
                  <c:v>7.8</c:v>
                </c:pt>
                <c:pt idx="126">
                  <c:v>7.8</c:v>
                </c:pt>
                <c:pt idx="127">
                  <c:v>7.9</c:v>
                </c:pt>
                <c:pt idx="128">
                  <c:v>8</c:v>
                </c:pt>
                <c:pt idx="129">
                  <c:v>8</c:v>
                </c:pt>
                <c:pt idx="130">
                  <c:v>8.1</c:v>
                </c:pt>
                <c:pt idx="131">
                  <c:v>8.1</c:v>
                </c:pt>
                <c:pt idx="132">
                  <c:v>8.1999999999999993</c:v>
                </c:pt>
                <c:pt idx="133">
                  <c:v>8.3000000000000007</c:v>
                </c:pt>
                <c:pt idx="134">
                  <c:v>8.4</c:v>
                </c:pt>
                <c:pt idx="135">
                  <c:v>8.4</c:v>
                </c:pt>
                <c:pt idx="136">
                  <c:v>8.5</c:v>
                </c:pt>
                <c:pt idx="137">
                  <c:v>8.6</c:v>
                </c:pt>
                <c:pt idx="138">
                  <c:v>8.6999999999999993</c:v>
                </c:pt>
                <c:pt idx="139">
                  <c:v>8.6999999999999993</c:v>
                </c:pt>
                <c:pt idx="140">
                  <c:v>8.8000000000000007</c:v>
                </c:pt>
                <c:pt idx="141">
                  <c:v>8.9</c:v>
                </c:pt>
                <c:pt idx="142">
                  <c:v>9</c:v>
                </c:pt>
                <c:pt idx="143">
                  <c:v>9.1</c:v>
                </c:pt>
                <c:pt idx="144">
                  <c:v>9.1999999999999993</c:v>
                </c:pt>
                <c:pt idx="145">
                  <c:v>9.3000000000000007</c:v>
                </c:pt>
                <c:pt idx="146">
                  <c:v>9.4</c:v>
                </c:pt>
                <c:pt idx="147">
                  <c:v>9.5</c:v>
                </c:pt>
                <c:pt idx="148">
                  <c:v>9.6</c:v>
                </c:pt>
                <c:pt idx="149">
                  <c:v>9.6999999999999993</c:v>
                </c:pt>
                <c:pt idx="150">
                  <c:v>9.9</c:v>
                </c:pt>
                <c:pt idx="151">
                  <c:v>10</c:v>
                </c:pt>
                <c:pt idx="152">
                  <c:v>10.1</c:v>
                </c:pt>
                <c:pt idx="153">
                  <c:v>10.3</c:v>
                </c:pt>
                <c:pt idx="154">
                  <c:v>10.4</c:v>
                </c:pt>
                <c:pt idx="155">
                  <c:v>10.5</c:v>
                </c:pt>
                <c:pt idx="156">
                  <c:v>10.7</c:v>
                </c:pt>
                <c:pt idx="157">
                  <c:v>10.9</c:v>
                </c:pt>
                <c:pt idx="158">
                  <c:v>11</c:v>
                </c:pt>
                <c:pt idx="159">
                  <c:v>11.2</c:v>
                </c:pt>
                <c:pt idx="160">
                  <c:v>11.4</c:v>
                </c:pt>
                <c:pt idx="161">
                  <c:v>11.6</c:v>
                </c:pt>
                <c:pt idx="162">
                  <c:v>11.8</c:v>
                </c:pt>
                <c:pt idx="163">
                  <c:v>12</c:v>
                </c:pt>
                <c:pt idx="164">
                  <c:v>12.2</c:v>
                </c:pt>
                <c:pt idx="165">
                  <c:v>12.4</c:v>
                </c:pt>
                <c:pt idx="166">
                  <c:v>12.7</c:v>
                </c:pt>
                <c:pt idx="167">
                  <c:v>12.9</c:v>
                </c:pt>
                <c:pt idx="168">
                  <c:v>13.2</c:v>
                </c:pt>
                <c:pt idx="169">
                  <c:v>13.5</c:v>
                </c:pt>
                <c:pt idx="170">
                  <c:v>13.8</c:v>
                </c:pt>
                <c:pt idx="171">
                  <c:v>14.1</c:v>
                </c:pt>
                <c:pt idx="172">
                  <c:v>14.5</c:v>
                </c:pt>
                <c:pt idx="173">
                  <c:v>14.8</c:v>
                </c:pt>
                <c:pt idx="174">
                  <c:v>15.2</c:v>
                </c:pt>
                <c:pt idx="175">
                  <c:v>15.6</c:v>
                </c:pt>
                <c:pt idx="176">
                  <c:v>16</c:v>
                </c:pt>
                <c:pt idx="177">
                  <c:v>16.5</c:v>
                </c:pt>
                <c:pt idx="178">
                  <c:v>16.899999999999999</c:v>
                </c:pt>
                <c:pt idx="179">
                  <c:v>17.399999999999999</c:v>
                </c:pt>
                <c:pt idx="180">
                  <c:v>18</c:v>
                </c:pt>
                <c:pt idx="181">
                  <c:v>18.5</c:v>
                </c:pt>
                <c:pt idx="182">
                  <c:v>19.100000000000001</c:v>
                </c:pt>
                <c:pt idx="183">
                  <c:v>19.8</c:v>
                </c:pt>
                <c:pt idx="184">
                  <c:v>20.5</c:v>
                </c:pt>
                <c:pt idx="185">
                  <c:v>21.2</c:v>
                </c:pt>
                <c:pt idx="186">
                  <c:v>22</c:v>
                </c:pt>
                <c:pt idx="187">
                  <c:v>22.8</c:v>
                </c:pt>
                <c:pt idx="188">
                  <c:v>23.7</c:v>
                </c:pt>
                <c:pt idx="189">
                  <c:v>24.6</c:v>
                </c:pt>
                <c:pt idx="190">
                  <c:v>25.6</c:v>
                </c:pt>
                <c:pt idx="191">
                  <c:v>26.7</c:v>
                </c:pt>
                <c:pt idx="192">
                  <c:v>27.8</c:v>
                </c:pt>
                <c:pt idx="193">
                  <c:v>29</c:v>
                </c:pt>
                <c:pt idx="194">
                  <c:v>30.3</c:v>
                </c:pt>
                <c:pt idx="195">
                  <c:v>31.7</c:v>
                </c:pt>
                <c:pt idx="196">
                  <c:v>33.1</c:v>
                </c:pt>
                <c:pt idx="197">
                  <c:v>34.6</c:v>
                </c:pt>
                <c:pt idx="198">
                  <c:v>36.200000000000003</c:v>
                </c:pt>
                <c:pt idx="199">
                  <c:v>37.9</c:v>
                </c:pt>
                <c:pt idx="200">
                  <c:v>39.6</c:v>
                </c:pt>
                <c:pt idx="201">
                  <c:v>41.4</c:v>
                </c:pt>
                <c:pt idx="202">
                  <c:v>43.3</c:v>
                </c:pt>
                <c:pt idx="203">
                  <c:v>45.2</c:v>
                </c:pt>
                <c:pt idx="204">
                  <c:v>47.1</c:v>
                </c:pt>
                <c:pt idx="205">
                  <c:v>49</c:v>
                </c:pt>
                <c:pt idx="206">
                  <c:v>50.9</c:v>
                </c:pt>
                <c:pt idx="207">
                  <c:v>52.8</c:v>
                </c:pt>
                <c:pt idx="208">
                  <c:v>54.5</c:v>
                </c:pt>
                <c:pt idx="209">
                  <c:v>56.1</c:v>
                </c:pt>
                <c:pt idx="210">
                  <c:v>57.5</c:v>
                </c:pt>
                <c:pt idx="211">
                  <c:v>58.7</c:v>
                </c:pt>
                <c:pt idx="212">
                  <c:v>59.5</c:v>
                </c:pt>
                <c:pt idx="213">
                  <c:v>59.8</c:v>
                </c:pt>
                <c:pt idx="214">
                  <c:v>59.8</c:v>
                </c:pt>
                <c:pt idx="215">
                  <c:v>59.4</c:v>
                </c:pt>
                <c:pt idx="216">
                  <c:v>58.8</c:v>
                </c:pt>
                <c:pt idx="217">
                  <c:v>57.9</c:v>
                </c:pt>
                <c:pt idx="218">
                  <c:v>56.8</c:v>
                </c:pt>
                <c:pt idx="219">
                  <c:v>55.6</c:v>
                </c:pt>
                <c:pt idx="220">
                  <c:v>54.3</c:v>
                </c:pt>
                <c:pt idx="221">
                  <c:v>52.9</c:v>
                </c:pt>
                <c:pt idx="222">
                  <c:v>51.5</c:v>
                </c:pt>
                <c:pt idx="223">
                  <c:v>50.1</c:v>
                </c:pt>
                <c:pt idx="224">
                  <c:v>48.6</c:v>
                </c:pt>
                <c:pt idx="225">
                  <c:v>47.2</c:v>
                </c:pt>
                <c:pt idx="226">
                  <c:v>45.8</c:v>
                </c:pt>
                <c:pt idx="227">
                  <c:v>44.4</c:v>
                </c:pt>
                <c:pt idx="228">
                  <c:v>43.1</c:v>
                </c:pt>
                <c:pt idx="229">
                  <c:v>41.8</c:v>
                </c:pt>
                <c:pt idx="230">
                  <c:v>40.5</c:v>
                </c:pt>
                <c:pt idx="231">
                  <c:v>39.299999999999997</c:v>
                </c:pt>
                <c:pt idx="232">
                  <c:v>38.200000000000003</c:v>
                </c:pt>
                <c:pt idx="233">
                  <c:v>37.1</c:v>
                </c:pt>
                <c:pt idx="234">
                  <c:v>36.1</c:v>
                </c:pt>
                <c:pt idx="235">
                  <c:v>35.1</c:v>
                </c:pt>
                <c:pt idx="236">
                  <c:v>34.200000000000003</c:v>
                </c:pt>
                <c:pt idx="237">
                  <c:v>33.299999999999997</c:v>
                </c:pt>
                <c:pt idx="238">
                  <c:v>32.5</c:v>
                </c:pt>
                <c:pt idx="239">
                  <c:v>31.7</c:v>
                </c:pt>
                <c:pt idx="240">
                  <c:v>31</c:v>
                </c:pt>
                <c:pt idx="241">
                  <c:v>30.3</c:v>
                </c:pt>
                <c:pt idx="242">
                  <c:v>29.6</c:v>
                </c:pt>
                <c:pt idx="243">
                  <c:v>29</c:v>
                </c:pt>
                <c:pt idx="244">
                  <c:v>28.4</c:v>
                </c:pt>
                <c:pt idx="245">
                  <c:v>27.9</c:v>
                </c:pt>
                <c:pt idx="246">
                  <c:v>27.3</c:v>
                </c:pt>
                <c:pt idx="247">
                  <c:v>26.8</c:v>
                </c:pt>
                <c:pt idx="248">
                  <c:v>26.4</c:v>
                </c:pt>
                <c:pt idx="249">
                  <c:v>25.9</c:v>
                </c:pt>
                <c:pt idx="250">
                  <c:v>25.5</c:v>
                </c:pt>
                <c:pt idx="251">
                  <c:v>25.2</c:v>
                </c:pt>
                <c:pt idx="252">
                  <c:v>24.8</c:v>
                </c:pt>
                <c:pt idx="253">
                  <c:v>24.4</c:v>
                </c:pt>
                <c:pt idx="254">
                  <c:v>24.1</c:v>
                </c:pt>
                <c:pt idx="255">
                  <c:v>23.8</c:v>
                </c:pt>
                <c:pt idx="256">
                  <c:v>23.5</c:v>
                </c:pt>
                <c:pt idx="257">
                  <c:v>23.3</c:v>
                </c:pt>
                <c:pt idx="258">
                  <c:v>23</c:v>
                </c:pt>
                <c:pt idx="259">
                  <c:v>22.8</c:v>
                </c:pt>
                <c:pt idx="260">
                  <c:v>22.5</c:v>
                </c:pt>
                <c:pt idx="261">
                  <c:v>22.3</c:v>
                </c:pt>
                <c:pt idx="262">
                  <c:v>22.1</c:v>
                </c:pt>
                <c:pt idx="263">
                  <c:v>21.9</c:v>
                </c:pt>
                <c:pt idx="264">
                  <c:v>21.8</c:v>
                </c:pt>
                <c:pt idx="265">
                  <c:v>21.6</c:v>
                </c:pt>
                <c:pt idx="266">
                  <c:v>21.4</c:v>
                </c:pt>
                <c:pt idx="267">
                  <c:v>21.3</c:v>
                </c:pt>
                <c:pt idx="268">
                  <c:v>21.2</c:v>
                </c:pt>
                <c:pt idx="269">
                  <c:v>21</c:v>
                </c:pt>
                <c:pt idx="270">
                  <c:v>20.9</c:v>
                </c:pt>
                <c:pt idx="271">
                  <c:v>20.8</c:v>
                </c:pt>
                <c:pt idx="272">
                  <c:v>20.7</c:v>
                </c:pt>
                <c:pt idx="273">
                  <c:v>20.6</c:v>
                </c:pt>
                <c:pt idx="274">
                  <c:v>20.5</c:v>
                </c:pt>
                <c:pt idx="275">
                  <c:v>20.399999999999999</c:v>
                </c:pt>
                <c:pt idx="276">
                  <c:v>20.3</c:v>
                </c:pt>
                <c:pt idx="277">
                  <c:v>20.3</c:v>
                </c:pt>
                <c:pt idx="278">
                  <c:v>20.2</c:v>
                </c:pt>
                <c:pt idx="279">
                  <c:v>20.100000000000001</c:v>
                </c:pt>
                <c:pt idx="280">
                  <c:v>20.100000000000001</c:v>
                </c:pt>
                <c:pt idx="281">
                  <c:v>20</c:v>
                </c:pt>
                <c:pt idx="282">
                  <c:v>20</c:v>
                </c:pt>
                <c:pt idx="283">
                  <c:v>19.899999999999999</c:v>
                </c:pt>
                <c:pt idx="284">
                  <c:v>19.899999999999999</c:v>
                </c:pt>
                <c:pt idx="285">
                  <c:v>19.899999999999999</c:v>
                </c:pt>
                <c:pt idx="286">
                  <c:v>19.8</c:v>
                </c:pt>
                <c:pt idx="287">
                  <c:v>19.8</c:v>
                </c:pt>
                <c:pt idx="288">
                  <c:v>19.8</c:v>
                </c:pt>
                <c:pt idx="289">
                  <c:v>19.8</c:v>
                </c:pt>
                <c:pt idx="290">
                  <c:v>19.8</c:v>
                </c:pt>
                <c:pt idx="291">
                  <c:v>19.8</c:v>
                </c:pt>
                <c:pt idx="292">
                  <c:v>19.8</c:v>
                </c:pt>
                <c:pt idx="293">
                  <c:v>19.7</c:v>
                </c:pt>
                <c:pt idx="294">
                  <c:v>19.7</c:v>
                </c:pt>
                <c:pt idx="295">
                  <c:v>19.8</c:v>
                </c:pt>
                <c:pt idx="296">
                  <c:v>19.8</c:v>
                </c:pt>
                <c:pt idx="297">
                  <c:v>19.8</c:v>
                </c:pt>
                <c:pt idx="298">
                  <c:v>19.8</c:v>
                </c:pt>
                <c:pt idx="299">
                  <c:v>19.8</c:v>
                </c:pt>
                <c:pt idx="300">
                  <c:v>19.8</c:v>
                </c:pt>
                <c:pt idx="301">
                  <c:v>19.8</c:v>
                </c:pt>
                <c:pt idx="302">
                  <c:v>19.899999999999999</c:v>
                </c:pt>
                <c:pt idx="303">
                  <c:v>19.899999999999999</c:v>
                </c:pt>
                <c:pt idx="304">
                  <c:v>19.899999999999999</c:v>
                </c:pt>
                <c:pt idx="305">
                  <c:v>19.899999999999999</c:v>
                </c:pt>
                <c:pt idx="306">
                  <c:v>20</c:v>
                </c:pt>
                <c:pt idx="307">
                  <c:v>20</c:v>
                </c:pt>
                <c:pt idx="308">
                  <c:v>20</c:v>
                </c:pt>
                <c:pt idx="309">
                  <c:v>20.100000000000001</c:v>
                </c:pt>
                <c:pt idx="310">
                  <c:v>20.100000000000001</c:v>
                </c:pt>
                <c:pt idx="311">
                  <c:v>20.2</c:v>
                </c:pt>
                <c:pt idx="312">
                  <c:v>20.2</c:v>
                </c:pt>
                <c:pt idx="313">
                  <c:v>20.2</c:v>
                </c:pt>
                <c:pt idx="314">
                  <c:v>20.3</c:v>
                </c:pt>
                <c:pt idx="315">
                  <c:v>20.3</c:v>
                </c:pt>
                <c:pt idx="316">
                  <c:v>20.399999999999999</c:v>
                </c:pt>
                <c:pt idx="317">
                  <c:v>20.5</c:v>
                </c:pt>
                <c:pt idx="318">
                  <c:v>20.5</c:v>
                </c:pt>
                <c:pt idx="319">
                  <c:v>20.6</c:v>
                </c:pt>
                <c:pt idx="320">
                  <c:v>20.6</c:v>
                </c:pt>
                <c:pt idx="321">
                  <c:v>20.7</c:v>
                </c:pt>
                <c:pt idx="322">
                  <c:v>20.8</c:v>
                </c:pt>
                <c:pt idx="323">
                  <c:v>20.8</c:v>
                </c:pt>
                <c:pt idx="324">
                  <c:v>20.9</c:v>
                </c:pt>
                <c:pt idx="325">
                  <c:v>21</c:v>
                </c:pt>
                <c:pt idx="326">
                  <c:v>21</c:v>
                </c:pt>
                <c:pt idx="327">
                  <c:v>21.1</c:v>
                </c:pt>
                <c:pt idx="328">
                  <c:v>21.2</c:v>
                </c:pt>
                <c:pt idx="329">
                  <c:v>21.2</c:v>
                </c:pt>
                <c:pt idx="330">
                  <c:v>21.3</c:v>
                </c:pt>
                <c:pt idx="331">
                  <c:v>21.4</c:v>
                </c:pt>
                <c:pt idx="332">
                  <c:v>21.5</c:v>
                </c:pt>
                <c:pt idx="333">
                  <c:v>21.6</c:v>
                </c:pt>
                <c:pt idx="334">
                  <c:v>21.7</c:v>
                </c:pt>
                <c:pt idx="335">
                  <c:v>21.7</c:v>
                </c:pt>
                <c:pt idx="336">
                  <c:v>21.8</c:v>
                </c:pt>
                <c:pt idx="337">
                  <c:v>21.9</c:v>
                </c:pt>
                <c:pt idx="338">
                  <c:v>22</c:v>
                </c:pt>
                <c:pt idx="339">
                  <c:v>22.1</c:v>
                </c:pt>
                <c:pt idx="340">
                  <c:v>22.2</c:v>
                </c:pt>
                <c:pt idx="341">
                  <c:v>22.3</c:v>
                </c:pt>
                <c:pt idx="342">
                  <c:v>22.4</c:v>
                </c:pt>
                <c:pt idx="343">
                  <c:v>22.5</c:v>
                </c:pt>
                <c:pt idx="344">
                  <c:v>22.6</c:v>
                </c:pt>
                <c:pt idx="345">
                  <c:v>22.7</c:v>
                </c:pt>
                <c:pt idx="346">
                  <c:v>22.8</c:v>
                </c:pt>
                <c:pt idx="347">
                  <c:v>22.9</c:v>
                </c:pt>
                <c:pt idx="348">
                  <c:v>23</c:v>
                </c:pt>
                <c:pt idx="349">
                  <c:v>23.1</c:v>
                </c:pt>
                <c:pt idx="350">
                  <c:v>23.2</c:v>
                </c:pt>
                <c:pt idx="351">
                  <c:v>23.4</c:v>
                </c:pt>
                <c:pt idx="352">
                  <c:v>23.5</c:v>
                </c:pt>
                <c:pt idx="353">
                  <c:v>23.6</c:v>
                </c:pt>
                <c:pt idx="354">
                  <c:v>23.7</c:v>
                </c:pt>
                <c:pt idx="355">
                  <c:v>23.8</c:v>
                </c:pt>
                <c:pt idx="356">
                  <c:v>23.9</c:v>
                </c:pt>
                <c:pt idx="357">
                  <c:v>24.1</c:v>
                </c:pt>
                <c:pt idx="358">
                  <c:v>24.2</c:v>
                </c:pt>
                <c:pt idx="359">
                  <c:v>24.3</c:v>
                </c:pt>
                <c:pt idx="360">
                  <c:v>24.5</c:v>
                </c:pt>
                <c:pt idx="361">
                  <c:v>24.6</c:v>
                </c:pt>
                <c:pt idx="362">
                  <c:v>24.7</c:v>
                </c:pt>
                <c:pt idx="363">
                  <c:v>24.9</c:v>
                </c:pt>
                <c:pt idx="364">
                  <c:v>25</c:v>
                </c:pt>
                <c:pt idx="365">
                  <c:v>25.1</c:v>
                </c:pt>
                <c:pt idx="366">
                  <c:v>25.3</c:v>
                </c:pt>
                <c:pt idx="367">
                  <c:v>25.4</c:v>
                </c:pt>
                <c:pt idx="368">
                  <c:v>25.6</c:v>
                </c:pt>
                <c:pt idx="369">
                  <c:v>25.7</c:v>
                </c:pt>
                <c:pt idx="370">
                  <c:v>25.9</c:v>
                </c:pt>
                <c:pt idx="371">
                  <c:v>26</c:v>
                </c:pt>
                <c:pt idx="372">
                  <c:v>26.2</c:v>
                </c:pt>
                <c:pt idx="373">
                  <c:v>26.3</c:v>
                </c:pt>
                <c:pt idx="374">
                  <c:v>26.5</c:v>
                </c:pt>
                <c:pt idx="375">
                  <c:v>26.7</c:v>
                </c:pt>
                <c:pt idx="376">
                  <c:v>26.8</c:v>
                </c:pt>
                <c:pt idx="377">
                  <c:v>27</c:v>
                </c:pt>
                <c:pt idx="378">
                  <c:v>27.2</c:v>
                </c:pt>
                <c:pt idx="379">
                  <c:v>27.3</c:v>
                </c:pt>
                <c:pt idx="380">
                  <c:v>27.5</c:v>
                </c:pt>
                <c:pt idx="381">
                  <c:v>27.7</c:v>
                </c:pt>
                <c:pt idx="382">
                  <c:v>27.9</c:v>
                </c:pt>
                <c:pt idx="383">
                  <c:v>28</c:v>
                </c:pt>
                <c:pt idx="384">
                  <c:v>28.2</c:v>
                </c:pt>
                <c:pt idx="385">
                  <c:v>28.4</c:v>
                </c:pt>
                <c:pt idx="386">
                  <c:v>28.6</c:v>
                </c:pt>
                <c:pt idx="387">
                  <c:v>28.8</c:v>
                </c:pt>
                <c:pt idx="388">
                  <c:v>29</c:v>
                </c:pt>
                <c:pt idx="389">
                  <c:v>29.2</c:v>
                </c:pt>
                <c:pt idx="390">
                  <c:v>29.4</c:v>
                </c:pt>
                <c:pt idx="391">
                  <c:v>29.6</c:v>
                </c:pt>
                <c:pt idx="392">
                  <c:v>29.8</c:v>
                </c:pt>
                <c:pt idx="393">
                  <c:v>30</c:v>
                </c:pt>
                <c:pt idx="394">
                  <c:v>30.2</c:v>
                </c:pt>
                <c:pt idx="395">
                  <c:v>30.4</c:v>
                </c:pt>
                <c:pt idx="396">
                  <c:v>30.7</c:v>
                </c:pt>
                <c:pt idx="397">
                  <c:v>30.9</c:v>
                </c:pt>
                <c:pt idx="398">
                  <c:v>31.1</c:v>
                </c:pt>
                <c:pt idx="399">
                  <c:v>31.4</c:v>
                </c:pt>
                <c:pt idx="400">
                  <c:v>31.6</c:v>
                </c:pt>
                <c:pt idx="401">
                  <c:v>31.8</c:v>
                </c:pt>
                <c:pt idx="402">
                  <c:v>32.1</c:v>
                </c:pt>
                <c:pt idx="403">
                  <c:v>32.299999999999997</c:v>
                </c:pt>
                <c:pt idx="404">
                  <c:v>32.6</c:v>
                </c:pt>
                <c:pt idx="405">
                  <c:v>32.799999999999997</c:v>
                </c:pt>
                <c:pt idx="406">
                  <c:v>33.1</c:v>
                </c:pt>
                <c:pt idx="407">
                  <c:v>33.299999999999997</c:v>
                </c:pt>
                <c:pt idx="408">
                  <c:v>33.6</c:v>
                </c:pt>
                <c:pt idx="409">
                  <c:v>33.9</c:v>
                </c:pt>
                <c:pt idx="410">
                  <c:v>34.1</c:v>
                </c:pt>
                <c:pt idx="411">
                  <c:v>34.4</c:v>
                </c:pt>
                <c:pt idx="412">
                  <c:v>34.700000000000003</c:v>
                </c:pt>
                <c:pt idx="413">
                  <c:v>35</c:v>
                </c:pt>
                <c:pt idx="414">
                  <c:v>35.299999999999997</c:v>
                </c:pt>
                <c:pt idx="415">
                  <c:v>35.6</c:v>
                </c:pt>
                <c:pt idx="416">
                  <c:v>35.9</c:v>
                </c:pt>
                <c:pt idx="417">
                  <c:v>36.200000000000003</c:v>
                </c:pt>
                <c:pt idx="418">
                  <c:v>36.5</c:v>
                </c:pt>
                <c:pt idx="419">
                  <c:v>36.799999999999997</c:v>
                </c:pt>
                <c:pt idx="420">
                  <c:v>37.200000000000003</c:v>
                </c:pt>
                <c:pt idx="421">
                  <c:v>37.5</c:v>
                </c:pt>
                <c:pt idx="422">
                  <c:v>37.799999999999997</c:v>
                </c:pt>
                <c:pt idx="423">
                  <c:v>38.200000000000003</c:v>
                </c:pt>
                <c:pt idx="424">
                  <c:v>38.5</c:v>
                </c:pt>
                <c:pt idx="425">
                  <c:v>38.9</c:v>
                </c:pt>
                <c:pt idx="426">
                  <c:v>39.200000000000003</c:v>
                </c:pt>
                <c:pt idx="427">
                  <c:v>39.6</c:v>
                </c:pt>
                <c:pt idx="428">
                  <c:v>40</c:v>
                </c:pt>
                <c:pt idx="429">
                  <c:v>40.4</c:v>
                </c:pt>
                <c:pt idx="430">
                  <c:v>40.799999999999997</c:v>
                </c:pt>
                <c:pt idx="431">
                  <c:v>41.2</c:v>
                </c:pt>
                <c:pt idx="432">
                  <c:v>41.6</c:v>
                </c:pt>
                <c:pt idx="433">
                  <c:v>42</c:v>
                </c:pt>
                <c:pt idx="434">
                  <c:v>42.4</c:v>
                </c:pt>
                <c:pt idx="435">
                  <c:v>42.8</c:v>
                </c:pt>
                <c:pt idx="436">
                  <c:v>43.3</c:v>
                </c:pt>
                <c:pt idx="437">
                  <c:v>43.7</c:v>
                </c:pt>
                <c:pt idx="438">
                  <c:v>44.1</c:v>
                </c:pt>
                <c:pt idx="439">
                  <c:v>44.6</c:v>
                </c:pt>
                <c:pt idx="440">
                  <c:v>45.1</c:v>
                </c:pt>
                <c:pt idx="441">
                  <c:v>45.6</c:v>
                </c:pt>
                <c:pt idx="442">
                  <c:v>46.1</c:v>
                </c:pt>
                <c:pt idx="443">
                  <c:v>46.6</c:v>
                </c:pt>
                <c:pt idx="444">
                  <c:v>47.1</c:v>
                </c:pt>
                <c:pt idx="445">
                  <c:v>47.6</c:v>
                </c:pt>
                <c:pt idx="446">
                  <c:v>48.1</c:v>
                </c:pt>
                <c:pt idx="447">
                  <c:v>48.7</c:v>
                </c:pt>
                <c:pt idx="448">
                  <c:v>49.2</c:v>
                </c:pt>
                <c:pt idx="449">
                  <c:v>49.8</c:v>
                </c:pt>
                <c:pt idx="450">
                  <c:v>50.4</c:v>
                </c:pt>
                <c:pt idx="451">
                  <c:v>51</c:v>
                </c:pt>
                <c:pt idx="452">
                  <c:v>51.6</c:v>
                </c:pt>
                <c:pt idx="453">
                  <c:v>52.2</c:v>
                </c:pt>
                <c:pt idx="454">
                  <c:v>52.9</c:v>
                </c:pt>
                <c:pt idx="455">
                  <c:v>53.5</c:v>
                </c:pt>
                <c:pt idx="456">
                  <c:v>54.2</c:v>
                </c:pt>
                <c:pt idx="457">
                  <c:v>54.9</c:v>
                </c:pt>
                <c:pt idx="458">
                  <c:v>55.6</c:v>
                </c:pt>
                <c:pt idx="459">
                  <c:v>56.3</c:v>
                </c:pt>
                <c:pt idx="460">
                  <c:v>57</c:v>
                </c:pt>
                <c:pt idx="461">
                  <c:v>57.8</c:v>
                </c:pt>
                <c:pt idx="462">
                  <c:v>58.5</c:v>
                </c:pt>
                <c:pt idx="463">
                  <c:v>59.3</c:v>
                </c:pt>
                <c:pt idx="464">
                  <c:v>60.1</c:v>
                </c:pt>
                <c:pt idx="465">
                  <c:v>61</c:v>
                </c:pt>
                <c:pt idx="466">
                  <c:v>61.8</c:v>
                </c:pt>
                <c:pt idx="467">
                  <c:v>62.7</c:v>
                </c:pt>
                <c:pt idx="468">
                  <c:v>63.6</c:v>
                </c:pt>
                <c:pt idx="469">
                  <c:v>64.5</c:v>
                </c:pt>
                <c:pt idx="470">
                  <c:v>65.5</c:v>
                </c:pt>
                <c:pt idx="471">
                  <c:v>66.5</c:v>
                </c:pt>
                <c:pt idx="472">
                  <c:v>67.5</c:v>
                </c:pt>
                <c:pt idx="473">
                  <c:v>68.5</c:v>
                </c:pt>
                <c:pt idx="474">
                  <c:v>69.599999999999994</c:v>
                </c:pt>
                <c:pt idx="475">
                  <c:v>70.599999999999994</c:v>
                </c:pt>
                <c:pt idx="476">
                  <c:v>71.8</c:v>
                </c:pt>
                <c:pt idx="477">
                  <c:v>72.900000000000006</c:v>
                </c:pt>
                <c:pt idx="478">
                  <c:v>74.099999999999994</c:v>
                </c:pt>
                <c:pt idx="479">
                  <c:v>75.400000000000006</c:v>
                </c:pt>
                <c:pt idx="480">
                  <c:v>76.599999999999994</c:v>
                </c:pt>
                <c:pt idx="481">
                  <c:v>78</c:v>
                </c:pt>
                <c:pt idx="482">
                  <c:v>79.3</c:v>
                </c:pt>
                <c:pt idx="483">
                  <c:v>80.7</c:v>
                </c:pt>
                <c:pt idx="484">
                  <c:v>82.2</c:v>
                </c:pt>
                <c:pt idx="485">
                  <c:v>83.7</c:v>
                </c:pt>
                <c:pt idx="486">
                  <c:v>85.2</c:v>
                </c:pt>
                <c:pt idx="487">
                  <c:v>86.9</c:v>
                </c:pt>
                <c:pt idx="488">
                  <c:v>88.6</c:v>
                </c:pt>
                <c:pt idx="489">
                  <c:v>90.3</c:v>
                </c:pt>
                <c:pt idx="490">
                  <c:v>92.2</c:v>
                </c:pt>
                <c:pt idx="491">
                  <c:v>94.1</c:v>
                </c:pt>
                <c:pt idx="492">
                  <c:v>96.1</c:v>
                </c:pt>
                <c:pt idx="493">
                  <c:v>98.2</c:v>
                </c:pt>
                <c:pt idx="494">
                  <c:v>100.4</c:v>
                </c:pt>
                <c:pt idx="495">
                  <c:v>102.8</c:v>
                </c:pt>
                <c:pt idx="496">
                  <c:v>105.2</c:v>
                </c:pt>
                <c:pt idx="497">
                  <c:v>107.7</c:v>
                </c:pt>
                <c:pt idx="498">
                  <c:v>110.4</c:v>
                </c:pt>
                <c:pt idx="499">
                  <c:v>113.3</c:v>
                </c:pt>
                <c:pt idx="500">
                  <c:v>116.4</c:v>
                </c:pt>
                <c:pt idx="501">
                  <c:v>119.4</c:v>
                </c:pt>
                <c:pt idx="502">
                  <c:v>122.7</c:v>
                </c:pt>
                <c:pt idx="503">
                  <c:v>126.2</c:v>
                </c:pt>
                <c:pt idx="504">
                  <c:v>130.1</c:v>
                </c:pt>
                <c:pt idx="505">
                  <c:v>134.6</c:v>
                </c:pt>
                <c:pt idx="506">
                  <c:v>138.30000000000001</c:v>
                </c:pt>
                <c:pt idx="507">
                  <c:v>142.5</c:v>
                </c:pt>
                <c:pt idx="508">
                  <c:v>147.19999999999999</c:v>
                </c:pt>
                <c:pt idx="509">
                  <c:v>152.4</c:v>
                </c:pt>
                <c:pt idx="510">
                  <c:v>158.6</c:v>
                </c:pt>
                <c:pt idx="511">
                  <c:v>163.30000000000001</c:v>
                </c:pt>
                <c:pt idx="512">
                  <c:v>168.6</c:v>
                </c:pt>
                <c:pt idx="513">
                  <c:v>174.6</c:v>
                </c:pt>
                <c:pt idx="514">
                  <c:v>181.2</c:v>
                </c:pt>
                <c:pt idx="515">
                  <c:v>189.1</c:v>
                </c:pt>
                <c:pt idx="516">
                  <c:v>195.3</c:v>
                </c:pt>
                <c:pt idx="517">
                  <c:v>200.8</c:v>
                </c:pt>
                <c:pt idx="518">
                  <c:v>207.3</c:v>
                </c:pt>
                <c:pt idx="519">
                  <c:v>214.7</c:v>
                </c:pt>
                <c:pt idx="520">
                  <c:v>223.2</c:v>
                </c:pt>
                <c:pt idx="521">
                  <c:v>230.9</c:v>
                </c:pt>
                <c:pt idx="522">
                  <c:v>234.8</c:v>
                </c:pt>
                <c:pt idx="523">
                  <c:v>240.4</c:v>
                </c:pt>
                <c:pt idx="524">
                  <c:v>246.6</c:v>
                </c:pt>
                <c:pt idx="525">
                  <c:v>253.3</c:v>
                </c:pt>
                <c:pt idx="526">
                  <c:v>261.10000000000002</c:v>
                </c:pt>
                <c:pt idx="527">
                  <c:v>262.2</c:v>
                </c:pt>
                <c:pt idx="528">
                  <c:v>265.3</c:v>
                </c:pt>
                <c:pt idx="529">
                  <c:v>268.8</c:v>
                </c:pt>
                <c:pt idx="530">
                  <c:v>272.3</c:v>
                </c:pt>
                <c:pt idx="531">
                  <c:v>275.60000000000002</c:v>
                </c:pt>
                <c:pt idx="532">
                  <c:v>276.89999999999998</c:v>
                </c:pt>
                <c:pt idx="533">
                  <c:v>278</c:v>
                </c:pt>
                <c:pt idx="534">
                  <c:v>279.2</c:v>
                </c:pt>
                <c:pt idx="535">
                  <c:v>280.39999999999998</c:v>
                </c:pt>
                <c:pt idx="536">
                  <c:v>281.39999999999998</c:v>
                </c:pt>
                <c:pt idx="537">
                  <c:v>282.10000000000002</c:v>
                </c:pt>
                <c:pt idx="538">
                  <c:v>282.5</c:v>
                </c:pt>
                <c:pt idx="539">
                  <c:v>283</c:v>
                </c:pt>
                <c:pt idx="540">
                  <c:v>283.39999999999998</c:v>
                </c:pt>
                <c:pt idx="541">
                  <c:v>283.7</c:v>
                </c:pt>
                <c:pt idx="542">
                  <c:v>284.10000000000002</c:v>
                </c:pt>
                <c:pt idx="543">
                  <c:v>284.3</c:v>
                </c:pt>
                <c:pt idx="544">
                  <c:v>284.60000000000002</c:v>
                </c:pt>
                <c:pt idx="545">
                  <c:v>284.8</c:v>
                </c:pt>
                <c:pt idx="546">
                  <c:v>285</c:v>
                </c:pt>
                <c:pt idx="547">
                  <c:v>285.2</c:v>
                </c:pt>
                <c:pt idx="548">
                  <c:v>285.39999999999998</c:v>
                </c:pt>
                <c:pt idx="549">
                  <c:v>285.5</c:v>
                </c:pt>
                <c:pt idx="550">
                  <c:v>285.7</c:v>
                </c:pt>
                <c:pt idx="551">
                  <c:v>285.8</c:v>
                </c:pt>
                <c:pt idx="552">
                  <c:v>285.89999999999998</c:v>
                </c:pt>
                <c:pt idx="553">
                  <c:v>286</c:v>
                </c:pt>
                <c:pt idx="554">
                  <c:v>286.10000000000002</c:v>
                </c:pt>
                <c:pt idx="555">
                  <c:v>286.2</c:v>
                </c:pt>
                <c:pt idx="556">
                  <c:v>286.3</c:v>
                </c:pt>
                <c:pt idx="557">
                  <c:v>286.3</c:v>
                </c:pt>
                <c:pt idx="558">
                  <c:v>286.39999999999998</c:v>
                </c:pt>
                <c:pt idx="559">
                  <c:v>286.5</c:v>
                </c:pt>
                <c:pt idx="560">
                  <c:v>286.5</c:v>
                </c:pt>
                <c:pt idx="561">
                  <c:v>286.60000000000002</c:v>
                </c:pt>
                <c:pt idx="562">
                  <c:v>286.60000000000002</c:v>
                </c:pt>
                <c:pt idx="563">
                  <c:v>286.7</c:v>
                </c:pt>
                <c:pt idx="564">
                  <c:v>286.7</c:v>
                </c:pt>
                <c:pt idx="565">
                  <c:v>286.7</c:v>
                </c:pt>
                <c:pt idx="566">
                  <c:v>286.8</c:v>
                </c:pt>
                <c:pt idx="567">
                  <c:v>286.8</c:v>
                </c:pt>
                <c:pt idx="568">
                  <c:v>286.8</c:v>
                </c:pt>
                <c:pt idx="569">
                  <c:v>286.89999999999998</c:v>
                </c:pt>
                <c:pt idx="570">
                  <c:v>286.89999999999998</c:v>
                </c:pt>
                <c:pt idx="571">
                  <c:v>286.89999999999998</c:v>
                </c:pt>
                <c:pt idx="572">
                  <c:v>286.89999999999998</c:v>
                </c:pt>
                <c:pt idx="573">
                  <c:v>287</c:v>
                </c:pt>
                <c:pt idx="574">
                  <c:v>287</c:v>
                </c:pt>
                <c:pt idx="575">
                  <c:v>287</c:v>
                </c:pt>
                <c:pt idx="576">
                  <c:v>287</c:v>
                </c:pt>
                <c:pt idx="577">
                  <c:v>287</c:v>
                </c:pt>
                <c:pt idx="578">
                  <c:v>287</c:v>
                </c:pt>
                <c:pt idx="579">
                  <c:v>287</c:v>
                </c:pt>
                <c:pt idx="580">
                  <c:v>287</c:v>
                </c:pt>
                <c:pt idx="581">
                  <c:v>287.10000000000002</c:v>
                </c:pt>
                <c:pt idx="582">
                  <c:v>287.10000000000002</c:v>
                </c:pt>
                <c:pt idx="583">
                  <c:v>287.10000000000002</c:v>
                </c:pt>
                <c:pt idx="584">
                  <c:v>287.10000000000002</c:v>
                </c:pt>
                <c:pt idx="585">
                  <c:v>287.10000000000002</c:v>
                </c:pt>
                <c:pt idx="586">
                  <c:v>287.10000000000002</c:v>
                </c:pt>
                <c:pt idx="587">
                  <c:v>287.10000000000002</c:v>
                </c:pt>
                <c:pt idx="588">
                  <c:v>287.10000000000002</c:v>
                </c:pt>
                <c:pt idx="589">
                  <c:v>287.10000000000002</c:v>
                </c:pt>
                <c:pt idx="590">
                  <c:v>287.10000000000002</c:v>
                </c:pt>
                <c:pt idx="591">
                  <c:v>287.2</c:v>
                </c:pt>
                <c:pt idx="592">
                  <c:v>287.2</c:v>
                </c:pt>
                <c:pt idx="593">
                  <c:v>287.2</c:v>
                </c:pt>
                <c:pt idx="594">
                  <c:v>287.2</c:v>
                </c:pt>
                <c:pt idx="595">
                  <c:v>287.2</c:v>
                </c:pt>
                <c:pt idx="596">
                  <c:v>287.2</c:v>
                </c:pt>
                <c:pt idx="597">
                  <c:v>287.2</c:v>
                </c:pt>
                <c:pt idx="598">
                  <c:v>287.2</c:v>
                </c:pt>
                <c:pt idx="599">
                  <c:v>287.2</c:v>
                </c:pt>
                <c:pt idx="600">
                  <c:v>287.2</c:v>
                </c:pt>
                <c:pt idx="601">
                  <c:v>287.10000000000002</c:v>
                </c:pt>
                <c:pt idx="602">
                  <c:v>287.10000000000002</c:v>
                </c:pt>
                <c:pt idx="603">
                  <c:v>287.10000000000002</c:v>
                </c:pt>
                <c:pt idx="604">
                  <c:v>287.10000000000002</c:v>
                </c:pt>
                <c:pt idx="605">
                  <c:v>287.10000000000002</c:v>
                </c:pt>
                <c:pt idx="606">
                  <c:v>287.10000000000002</c:v>
                </c:pt>
                <c:pt idx="607">
                  <c:v>287.10000000000002</c:v>
                </c:pt>
                <c:pt idx="608">
                  <c:v>287.10000000000002</c:v>
                </c:pt>
                <c:pt idx="609">
                  <c:v>287.10000000000002</c:v>
                </c:pt>
                <c:pt idx="610">
                  <c:v>287.10000000000002</c:v>
                </c:pt>
                <c:pt idx="611">
                  <c:v>287</c:v>
                </c:pt>
                <c:pt idx="612">
                  <c:v>287</c:v>
                </c:pt>
                <c:pt idx="613">
                  <c:v>287</c:v>
                </c:pt>
                <c:pt idx="614">
                  <c:v>287</c:v>
                </c:pt>
                <c:pt idx="615">
                  <c:v>286.89999999999998</c:v>
                </c:pt>
                <c:pt idx="616">
                  <c:v>286.89999999999998</c:v>
                </c:pt>
                <c:pt idx="617">
                  <c:v>286.8</c:v>
                </c:pt>
                <c:pt idx="618">
                  <c:v>286.8</c:v>
                </c:pt>
                <c:pt idx="619">
                  <c:v>286.7</c:v>
                </c:pt>
                <c:pt idx="620">
                  <c:v>286.60000000000002</c:v>
                </c:pt>
                <c:pt idx="621">
                  <c:v>286.5</c:v>
                </c:pt>
                <c:pt idx="622">
                  <c:v>286.5</c:v>
                </c:pt>
                <c:pt idx="623">
                  <c:v>286.39999999999998</c:v>
                </c:pt>
                <c:pt idx="624">
                  <c:v>286.3</c:v>
                </c:pt>
                <c:pt idx="625">
                  <c:v>286.2</c:v>
                </c:pt>
                <c:pt idx="626">
                  <c:v>286</c:v>
                </c:pt>
                <c:pt idx="627">
                  <c:v>285.89999999999998</c:v>
                </c:pt>
                <c:pt idx="628">
                  <c:v>285.8</c:v>
                </c:pt>
                <c:pt idx="629">
                  <c:v>285.60000000000002</c:v>
                </c:pt>
                <c:pt idx="630">
                  <c:v>285.39999999999998</c:v>
                </c:pt>
                <c:pt idx="631">
                  <c:v>285.3</c:v>
                </c:pt>
                <c:pt idx="632">
                  <c:v>285.10000000000002</c:v>
                </c:pt>
                <c:pt idx="633">
                  <c:v>284.8</c:v>
                </c:pt>
                <c:pt idx="634">
                  <c:v>284.60000000000002</c:v>
                </c:pt>
                <c:pt idx="635">
                  <c:v>284.3</c:v>
                </c:pt>
                <c:pt idx="636">
                  <c:v>284.10000000000002</c:v>
                </c:pt>
                <c:pt idx="637">
                  <c:v>283.7</c:v>
                </c:pt>
                <c:pt idx="638">
                  <c:v>283.3</c:v>
                </c:pt>
                <c:pt idx="639">
                  <c:v>282.89999999999998</c:v>
                </c:pt>
                <c:pt idx="640">
                  <c:v>282.3</c:v>
                </c:pt>
                <c:pt idx="641">
                  <c:v>281.8</c:v>
                </c:pt>
                <c:pt idx="642">
                  <c:v>281.2</c:v>
                </c:pt>
                <c:pt idx="643">
                  <c:v>280.2</c:v>
                </c:pt>
                <c:pt idx="644">
                  <c:v>278.8</c:v>
                </c:pt>
                <c:pt idx="645">
                  <c:v>277.2</c:v>
                </c:pt>
                <c:pt idx="646">
                  <c:v>275.5</c:v>
                </c:pt>
                <c:pt idx="647">
                  <c:v>274</c:v>
                </c:pt>
                <c:pt idx="648">
                  <c:v>272.2</c:v>
                </c:pt>
                <c:pt idx="649">
                  <c:v>268.10000000000002</c:v>
                </c:pt>
                <c:pt idx="650">
                  <c:v>264.10000000000002</c:v>
                </c:pt>
                <c:pt idx="651">
                  <c:v>260.2</c:v>
                </c:pt>
                <c:pt idx="652">
                  <c:v>256.7</c:v>
                </c:pt>
                <c:pt idx="653">
                  <c:v>255</c:v>
                </c:pt>
                <c:pt idx="654">
                  <c:v>247.3</c:v>
                </c:pt>
                <c:pt idx="655">
                  <c:v>241</c:v>
                </c:pt>
                <c:pt idx="656">
                  <c:v>235.2</c:v>
                </c:pt>
                <c:pt idx="657">
                  <c:v>229.9</c:v>
                </c:pt>
                <c:pt idx="658">
                  <c:v>225.7</c:v>
                </c:pt>
                <c:pt idx="659">
                  <c:v>219.3</c:v>
                </c:pt>
                <c:pt idx="660">
                  <c:v>212.3</c:v>
                </c:pt>
                <c:pt idx="661">
                  <c:v>206.1</c:v>
                </c:pt>
                <c:pt idx="662">
                  <c:v>200.5</c:v>
                </c:pt>
                <c:pt idx="663">
                  <c:v>195.6</c:v>
                </c:pt>
                <c:pt idx="664">
                  <c:v>190.8</c:v>
                </c:pt>
                <c:pt idx="665">
                  <c:v>184.6</c:v>
                </c:pt>
                <c:pt idx="666">
                  <c:v>179.2</c:v>
                </c:pt>
                <c:pt idx="667">
                  <c:v>174.4</c:v>
                </c:pt>
                <c:pt idx="668">
                  <c:v>170</c:v>
                </c:pt>
                <c:pt idx="669">
                  <c:v>166.3</c:v>
                </c:pt>
                <c:pt idx="670">
                  <c:v>161.5</c:v>
                </c:pt>
                <c:pt idx="671">
                  <c:v>157.30000000000001</c:v>
                </c:pt>
                <c:pt idx="672">
                  <c:v>153.5</c:v>
                </c:pt>
                <c:pt idx="673">
                  <c:v>150</c:v>
                </c:pt>
                <c:pt idx="674">
                  <c:v>146.69999999999999</c:v>
                </c:pt>
                <c:pt idx="675">
                  <c:v>143.4</c:v>
                </c:pt>
                <c:pt idx="676">
                  <c:v>140.30000000000001</c:v>
                </c:pt>
                <c:pt idx="677">
                  <c:v>137.30000000000001</c:v>
                </c:pt>
                <c:pt idx="678">
                  <c:v>134.6</c:v>
                </c:pt>
                <c:pt idx="679">
                  <c:v>132</c:v>
                </c:pt>
                <c:pt idx="680">
                  <c:v>129.5</c:v>
                </c:pt>
                <c:pt idx="681">
                  <c:v>127</c:v>
                </c:pt>
                <c:pt idx="682">
                  <c:v>124.7</c:v>
                </c:pt>
                <c:pt idx="683">
                  <c:v>122.5</c:v>
                </c:pt>
                <c:pt idx="684">
                  <c:v>120.5</c:v>
                </c:pt>
                <c:pt idx="685">
                  <c:v>118.5</c:v>
                </c:pt>
                <c:pt idx="686">
                  <c:v>116.6</c:v>
                </c:pt>
                <c:pt idx="687">
                  <c:v>114.8</c:v>
                </c:pt>
                <c:pt idx="688">
                  <c:v>113.1</c:v>
                </c:pt>
                <c:pt idx="689">
                  <c:v>111.4</c:v>
                </c:pt>
                <c:pt idx="690">
                  <c:v>109.8</c:v>
                </c:pt>
                <c:pt idx="691">
                  <c:v>108.3</c:v>
                </c:pt>
                <c:pt idx="692">
                  <c:v>106.8</c:v>
                </c:pt>
                <c:pt idx="693">
                  <c:v>105.4</c:v>
                </c:pt>
                <c:pt idx="694">
                  <c:v>104</c:v>
                </c:pt>
                <c:pt idx="695">
                  <c:v>102.7</c:v>
                </c:pt>
                <c:pt idx="696">
                  <c:v>101.4</c:v>
                </c:pt>
                <c:pt idx="697">
                  <c:v>100.1</c:v>
                </c:pt>
                <c:pt idx="698">
                  <c:v>98.9</c:v>
                </c:pt>
                <c:pt idx="699">
                  <c:v>97.7</c:v>
                </c:pt>
                <c:pt idx="700">
                  <c:v>96.6</c:v>
                </c:pt>
                <c:pt idx="701">
                  <c:v>95.5</c:v>
                </c:pt>
                <c:pt idx="702">
                  <c:v>94.5</c:v>
                </c:pt>
                <c:pt idx="703">
                  <c:v>93.4</c:v>
                </c:pt>
                <c:pt idx="704">
                  <c:v>92.4</c:v>
                </c:pt>
                <c:pt idx="705">
                  <c:v>91.5</c:v>
                </c:pt>
                <c:pt idx="706">
                  <c:v>90.5</c:v>
                </c:pt>
                <c:pt idx="707">
                  <c:v>89.6</c:v>
                </c:pt>
                <c:pt idx="708">
                  <c:v>88.7</c:v>
                </c:pt>
                <c:pt idx="709">
                  <c:v>87.9</c:v>
                </c:pt>
                <c:pt idx="710">
                  <c:v>87</c:v>
                </c:pt>
                <c:pt idx="711">
                  <c:v>86.2</c:v>
                </c:pt>
                <c:pt idx="712">
                  <c:v>85.4</c:v>
                </c:pt>
                <c:pt idx="713">
                  <c:v>84.6</c:v>
                </c:pt>
                <c:pt idx="714">
                  <c:v>83.9</c:v>
                </c:pt>
                <c:pt idx="715">
                  <c:v>83.2</c:v>
                </c:pt>
                <c:pt idx="716">
                  <c:v>82.5</c:v>
                </c:pt>
                <c:pt idx="717">
                  <c:v>81.8</c:v>
                </c:pt>
                <c:pt idx="718">
                  <c:v>81.099999999999994</c:v>
                </c:pt>
                <c:pt idx="719">
                  <c:v>80.5</c:v>
                </c:pt>
                <c:pt idx="720">
                  <c:v>79.8</c:v>
                </c:pt>
                <c:pt idx="721">
                  <c:v>79.2</c:v>
                </c:pt>
                <c:pt idx="722">
                  <c:v>78.599999999999994</c:v>
                </c:pt>
                <c:pt idx="723">
                  <c:v>78</c:v>
                </c:pt>
                <c:pt idx="724">
                  <c:v>77.400000000000006</c:v>
                </c:pt>
                <c:pt idx="725">
                  <c:v>76.900000000000006</c:v>
                </c:pt>
                <c:pt idx="726">
                  <c:v>76.3</c:v>
                </c:pt>
                <c:pt idx="727">
                  <c:v>75.8</c:v>
                </c:pt>
                <c:pt idx="728">
                  <c:v>75.3</c:v>
                </c:pt>
                <c:pt idx="729">
                  <c:v>74.8</c:v>
                </c:pt>
                <c:pt idx="730">
                  <c:v>74.3</c:v>
                </c:pt>
                <c:pt idx="731">
                  <c:v>73.8</c:v>
                </c:pt>
                <c:pt idx="732">
                  <c:v>73.400000000000006</c:v>
                </c:pt>
                <c:pt idx="733">
                  <c:v>72.900000000000006</c:v>
                </c:pt>
                <c:pt idx="734">
                  <c:v>72.5</c:v>
                </c:pt>
                <c:pt idx="735">
                  <c:v>72</c:v>
                </c:pt>
                <c:pt idx="736">
                  <c:v>71.599999999999994</c:v>
                </c:pt>
                <c:pt idx="737">
                  <c:v>71.2</c:v>
                </c:pt>
                <c:pt idx="738">
                  <c:v>70.8</c:v>
                </c:pt>
                <c:pt idx="739">
                  <c:v>70.400000000000006</c:v>
                </c:pt>
                <c:pt idx="740">
                  <c:v>70</c:v>
                </c:pt>
                <c:pt idx="741">
                  <c:v>69.7</c:v>
                </c:pt>
                <c:pt idx="742">
                  <c:v>69.3</c:v>
                </c:pt>
                <c:pt idx="743">
                  <c:v>68.900000000000006</c:v>
                </c:pt>
                <c:pt idx="744">
                  <c:v>68.599999999999994</c:v>
                </c:pt>
                <c:pt idx="745">
                  <c:v>68.3</c:v>
                </c:pt>
                <c:pt idx="746">
                  <c:v>67.900000000000006</c:v>
                </c:pt>
                <c:pt idx="747">
                  <c:v>67.599999999999994</c:v>
                </c:pt>
                <c:pt idx="748">
                  <c:v>67.3</c:v>
                </c:pt>
                <c:pt idx="749">
                  <c:v>67</c:v>
                </c:pt>
                <c:pt idx="750">
                  <c:v>66.7</c:v>
                </c:pt>
                <c:pt idx="751">
                  <c:v>66.400000000000006</c:v>
                </c:pt>
                <c:pt idx="752">
                  <c:v>66.099999999999994</c:v>
                </c:pt>
                <c:pt idx="753">
                  <c:v>65.8</c:v>
                </c:pt>
                <c:pt idx="754">
                  <c:v>65.599999999999994</c:v>
                </c:pt>
                <c:pt idx="755">
                  <c:v>65.3</c:v>
                </c:pt>
                <c:pt idx="756">
                  <c:v>65.099999999999994</c:v>
                </c:pt>
                <c:pt idx="757">
                  <c:v>64.8</c:v>
                </c:pt>
                <c:pt idx="758">
                  <c:v>64.599999999999994</c:v>
                </c:pt>
                <c:pt idx="759">
                  <c:v>64.3</c:v>
                </c:pt>
                <c:pt idx="760">
                  <c:v>64.099999999999994</c:v>
                </c:pt>
                <c:pt idx="761">
                  <c:v>63.8</c:v>
                </c:pt>
                <c:pt idx="762">
                  <c:v>63.6</c:v>
                </c:pt>
                <c:pt idx="763">
                  <c:v>63.4</c:v>
                </c:pt>
                <c:pt idx="764">
                  <c:v>63.2</c:v>
                </c:pt>
                <c:pt idx="765">
                  <c:v>63</c:v>
                </c:pt>
                <c:pt idx="766">
                  <c:v>62.8</c:v>
                </c:pt>
                <c:pt idx="767">
                  <c:v>62.6</c:v>
                </c:pt>
                <c:pt idx="768">
                  <c:v>62.4</c:v>
                </c:pt>
                <c:pt idx="769">
                  <c:v>62.2</c:v>
                </c:pt>
                <c:pt idx="770">
                  <c:v>62</c:v>
                </c:pt>
                <c:pt idx="771">
                  <c:v>61.8</c:v>
                </c:pt>
                <c:pt idx="772">
                  <c:v>61.7</c:v>
                </c:pt>
                <c:pt idx="773">
                  <c:v>61.5</c:v>
                </c:pt>
                <c:pt idx="774">
                  <c:v>61.3</c:v>
                </c:pt>
                <c:pt idx="775">
                  <c:v>61.2</c:v>
                </c:pt>
                <c:pt idx="776">
                  <c:v>61</c:v>
                </c:pt>
                <c:pt idx="777">
                  <c:v>60.9</c:v>
                </c:pt>
                <c:pt idx="778">
                  <c:v>60.7</c:v>
                </c:pt>
                <c:pt idx="779">
                  <c:v>60.6</c:v>
                </c:pt>
                <c:pt idx="780">
                  <c:v>60.4</c:v>
                </c:pt>
                <c:pt idx="781">
                  <c:v>60.3</c:v>
                </c:pt>
                <c:pt idx="782">
                  <c:v>60.1</c:v>
                </c:pt>
                <c:pt idx="783">
                  <c:v>60</c:v>
                </c:pt>
                <c:pt idx="784">
                  <c:v>59.9</c:v>
                </c:pt>
                <c:pt idx="785">
                  <c:v>59.7</c:v>
                </c:pt>
                <c:pt idx="786">
                  <c:v>59.6</c:v>
                </c:pt>
                <c:pt idx="787">
                  <c:v>59.5</c:v>
                </c:pt>
                <c:pt idx="788">
                  <c:v>59.4</c:v>
                </c:pt>
                <c:pt idx="789">
                  <c:v>59.3</c:v>
                </c:pt>
                <c:pt idx="790">
                  <c:v>59.2</c:v>
                </c:pt>
                <c:pt idx="791">
                  <c:v>59.1</c:v>
                </c:pt>
                <c:pt idx="792">
                  <c:v>59</c:v>
                </c:pt>
                <c:pt idx="793">
                  <c:v>58.9</c:v>
                </c:pt>
                <c:pt idx="794">
                  <c:v>58.8</c:v>
                </c:pt>
                <c:pt idx="795">
                  <c:v>58.7</c:v>
                </c:pt>
                <c:pt idx="796">
                  <c:v>58.6</c:v>
                </c:pt>
                <c:pt idx="797">
                  <c:v>58.5</c:v>
                </c:pt>
                <c:pt idx="798">
                  <c:v>58.4</c:v>
                </c:pt>
                <c:pt idx="799">
                  <c:v>58.3</c:v>
                </c:pt>
                <c:pt idx="800">
                  <c:v>58.2</c:v>
                </c:pt>
                <c:pt idx="801">
                  <c:v>58.1</c:v>
                </c:pt>
                <c:pt idx="802">
                  <c:v>58.1</c:v>
                </c:pt>
                <c:pt idx="803">
                  <c:v>58</c:v>
                </c:pt>
                <c:pt idx="804">
                  <c:v>57.9</c:v>
                </c:pt>
                <c:pt idx="805">
                  <c:v>57.8</c:v>
                </c:pt>
                <c:pt idx="806">
                  <c:v>57.8</c:v>
                </c:pt>
                <c:pt idx="807">
                  <c:v>57.7</c:v>
                </c:pt>
                <c:pt idx="808">
                  <c:v>57.6</c:v>
                </c:pt>
                <c:pt idx="809">
                  <c:v>57.6</c:v>
                </c:pt>
                <c:pt idx="810">
                  <c:v>57.5</c:v>
                </c:pt>
                <c:pt idx="811">
                  <c:v>57.5</c:v>
                </c:pt>
                <c:pt idx="812">
                  <c:v>57.4</c:v>
                </c:pt>
                <c:pt idx="813">
                  <c:v>57.3</c:v>
                </c:pt>
                <c:pt idx="814">
                  <c:v>57.3</c:v>
                </c:pt>
                <c:pt idx="815">
                  <c:v>57.2</c:v>
                </c:pt>
                <c:pt idx="816">
                  <c:v>57.2</c:v>
                </c:pt>
                <c:pt idx="817">
                  <c:v>57.2</c:v>
                </c:pt>
                <c:pt idx="818">
                  <c:v>57.1</c:v>
                </c:pt>
                <c:pt idx="819">
                  <c:v>57.1</c:v>
                </c:pt>
                <c:pt idx="820">
                  <c:v>57</c:v>
                </c:pt>
                <c:pt idx="821">
                  <c:v>57</c:v>
                </c:pt>
                <c:pt idx="822">
                  <c:v>56.9</c:v>
                </c:pt>
                <c:pt idx="823">
                  <c:v>56.9</c:v>
                </c:pt>
                <c:pt idx="824">
                  <c:v>56.9</c:v>
                </c:pt>
                <c:pt idx="825">
                  <c:v>56.8</c:v>
                </c:pt>
                <c:pt idx="826">
                  <c:v>56.8</c:v>
                </c:pt>
                <c:pt idx="827">
                  <c:v>56.8</c:v>
                </c:pt>
                <c:pt idx="828">
                  <c:v>56.8</c:v>
                </c:pt>
                <c:pt idx="829">
                  <c:v>56.7</c:v>
                </c:pt>
                <c:pt idx="830">
                  <c:v>56.7</c:v>
                </c:pt>
                <c:pt idx="831">
                  <c:v>56.7</c:v>
                </c:pt>
                <c:pt idx="832">
                  <c:v>56.7</c:v>
                </c:pt>
                <c:pt idx="833">
                  <c:v>56.6</c:v>
                </c:pt>
                <c:pt idx="834">
                  <c:v>56.6</c:v>
                </c:pt>
                <c:pt idx="835">
                  <c:v>56.6</c:v>
                </c:pt>
                <c:pt idx="836">
                  <c:v>56.6</c:v>
                </c:pt>
                <c:pt idx="837">
                  <c:v>56.6</c:v>
                </c:pt>
                <c:pt idx="838">
                  <c:v>56.6</c:v>
                </c:pt>
                <c:pt idx="839">
                  <c:v>56.5</c:v>
                </c:pt>
                <c:pt idx="840">
                  <c:v>56.5</c:v>
                </c:pt>
                <c:pt idx="841">
                  <c:v>56.5</c:v>
                </c:pt>
                <c:pt idx="842">
                  <c:v>56.5</c:v>
                </c:pt>
                <c:pt idx="843">
                  <c:v>56.5</c:v>
                </c:pt>
                <c:pt idx="844">
                  <c:v>56.5</c:v>
                </c:pt>
                <c:pt idx="845">
                  <c:v>56.5</c:v>
                </c:pt>
                <c:pt idx="846">
                  <c:v>56.5</c:v>
                </c:pt>
                <c:pt idx="847">
                  <c:v>56.5</c:v>
                </c:pt>
                <c:pt idx="848">
                  <c:v>56.5</c:v>
                </c:pt>
                <c:pt idx="849">
                  <c:v>56.5</c:v>
                </c:pt>
                <c:pt idx="850">
                  <c:v>56.5</c:v>
                </c:pt>
                <c:pt idx="851">
                  <c:v>56.5</c:v>
                </c:pt>
                <c:pt idx="852">
                  <c:v>56.5</c:v>
                </c:pt>
                <c:pt idx="853">
                  <c:v>56.5</c:v>
                </c:pt>
                <c:pt idx="854">
                  <c:v>56.5</c:v>
                </c:pt>
                <c:pt idx="855">
                  <c:v>56.5</c:v>
                </c:pt>
                <c:pt idx="856">
                  <c:v>56.5</c:v>
                </c:pt>
                <c:pt idx="857">
                  <c:v>56.5</c:v>
                </c:pt>
                <c:pt idx="858">
                  <c:v>56.6</c:v>
                </c:pt>
                <c:pt idx="859">
                  <c:v>56.6</c:v>
                </c:pt>
                <c:pt idx="860">
                  <c:v>56.6</c:v>
                </c:pt>
                <c:pt idx="861">
                  <c:v>56.6</c:v>
                </c:pt>
                <c:pt idx="862">
                  <c:v>56.6</c:v>
                </c:pt>
                <c:pt idx="863">
                  <c:v>56.6</c:v>
                </c:pt>
                <c:pt idx="864">
                  <c:v>56.6</c:v>
                </c:pt>
                <c:pt idx="865">
                  <c:v>56.7</c:v>
                </c:pt>
                <c:pt idx="866">
                  <c:v>56.7</c:v>
                </c:pt>
                <c:pt idx="867">
                  <c:v>56.7</c:v>
                </c:pt>
                <c:pt idx="868">
                  <c:v>56.7</c:v>
                </c:pt>
                <c:pt idx="869">
                  <c:v>56.7</c:v>
                </c:pt>
                <c:pt idx="870">
                  <c:v>56.8</c:v>
                </c:pt>
                <c:pt idx="871">
                  <c:v>56.8</c:v>
                </c:pt>
                <c:pt idx="872">
                  <c:v>56.8</c:v>
                </c:pt>
                <c:pt idx="873">
                  <c:v>56.8</c:v>
                </c:pt>
                <c:pt idx="874">
                  <c:v>56.9</c:v>
                </c:pt>
                <c:pt idx="875">
                  <c:v>56.9</c:v>
                </c:pt>
                <c:pt idx="876">
                  <c:v>56.9</c:v>
                </c:pt>
                <c:pt idx="877">
                  <c:v>56.9</c:v>
                </c:pt>
                <c:pt idx="878">
                  <c:v>57</c:v>
                </c:pt>
                <c:pt idx="879">
                  <c:v>57</c:v>
                </c:pt>
                <c:pt idx="880">
                  <c:v>57</c:v>
                </c:pt>
                <c:pt idx="881">
                  <c:v>57.1</c:v>
                </c:pt>
                <c:pt idx="882">
                  <c:v>57.1</c:v>
                </c:pt>
                <c:pt idx="883">
                  <c:v>57.1</c:v>
                </c:pt>
                <c:pt idx="884">
                  <c:v>57.2</c:v>
                </c:pt>
                <c:pt idx="885">
                  <c:v>57.2</c:v>
                </c:pt>
                <c:pt idx="886">
                  <c:v>57.2</c:v>
                </c:pt>
                <c:pt idx="887">
                  <c:v>57.3</c:v>
                </c:pt>
                <c:pt idx="888">
                  <c:v>57.3</c:v>
                </c:pt>
                <c:pt idx="889">
                  <c:v>57.3</c:v>
                </c:pt>
                <c:pt idx="890">
                  <c:v>57.4</c:v>
                </c:pt>
                <c:pt idx="891">
                  <c:v>57.4</c:v>
                </c:pt>
                <c:pt idx="892">
                  <c:v>57.5</c:v>
                </c:pt>
                <c:pt idx="893">
                  <c:v>57.5</c:v>
                </c:pt>
                <c:pt idx="894">
                  <c:v>57.5</c:v>
                </c:pt>
                <c:pt idx="895">
                  <c:v>57.6</c:v>
                </c:pt>
                <c:pt idx="896">
                  <c:v>57.6</c:v>
                </c:pt>
                <c:pt idx="897">
                  <c:v>57.7</c:v>
                </c:pt>
                <c:pt idx="898">
                  <c:v>57.7</c:v>
                </c:pt>
                <c:pt idx="899">
                  <c:v>57.8</c:v>
                </c:pt>
                <c:pt idx="900">
                  <c:v>57.8</c:v>
                </c:pt>
                <c:pt idx="901">
                  <c:v>57.9</c:v>
                </c:pt>
                <c:pt idx="902">
                  <c:v>57.9</c:v>
                </c:pt>
                <c:pt idx="903">
                  <c:v>58</c:v>
                </c:pt>
                <c:pt idx="904">
                  <c:v>58</c:v>
                </c:pt>
                <c:pt idx="905">
                  <c:v>58.1</c:v>
                </c:pt>
                <c:pt idx="906">
                  <c:v>58.1</c:v>
                </c:pt>
                <c:pt idx="907">
                  <c:v>58.2</c:v>
                </c:pt>
                <c:pt idx="908">
                  <c:v>58.2</c:v>
                </c:pt>
                <c:pt idx="909">
                  <c:v>58.3</c:v>
                </c:pt>
                <c:pt idx="910">
                  <c:v>58.3</c:v>
                </c:pt>
                <c:pt idx="911">
                  <c:v>58.4</c:v>
                </c:pt>
                <c:pt idx="912">
                  <c:v>58.4</c:v>
                </c:pt>
                <c:pt idx="913">
                  <c:v>58.5</c:v>
                </c:pt>
                <c:pt idx="914">
                  <c:v>58.5</c:v>
                </c:pt>
                <c:pt idx="915">
                  <c:v>58.6</c:v>
                </c:pt>
                <c:pt idx="916">
                  <c:v>58.6</c:v>
                </c:pt>
                <c:pt idx="917">
                  <c:v>58.7</c:v>
                </c:pt>
                <c:pt idx="918">
                  <c:v>58.8</c:v>
                </c:pt>
                <c:pt idx="919">
                  <c:v>58.8</c:v>
                </c:pt>
                <c:pt idx="920">
                  <c:v>58.9</c:v>
                </c:pt>
                <c:pt idx="921">
                  <c:v>58.9</c:v>
                </c:pt>
                <c:pt idx="922">
                  <c:v>59</c:v>
                </c:pt>
                <c:pt idx="923">
                  <c:v>59.1</c:v>
                </c:pt>
                <c:pt idx="924">
                  <c:v>59.1</c:v>
                </c:pt>
                <c:pt idx="925">
                  <c:v>59.2</c:v>
                </c:pt>
                <c:pt idx="926">
                  <c:v>59.2</c:v>
                </c:pt>
                <c:pt idx="927">
                  <c:v>59.3</c:v>
                </c:pt>
                <c:pt idx="928">
                  <c:v>59.4</c:v>
                </c:pt>
                <c:pt idx="929">
                  <c:v>59.4</c:v>
                </c:pt>
                <c:pt idx="930">
                  <c:v>59.5</c:v>
                </c:pt>
                <c:pt idx="931">
                  <c:v>59.6</c:v>
                </c:pt>
                <c:pt idx="932">
                  <c:v>59.6</c:v>
                </c:pt>
                <c:pt idx="933">
                  <c:v>59.7</c:v>
                </c:pt>
                <c:pt idx="934">
                  <c:v>59.8</c:v>
                </c:pt>
                <c:pt idx="935">
                  <c:v>59.8</c:v>
                </c:pt>
                <c:pt idx="936">
                  <c:v>59.9</c:v>
                </c:pt>
                <c:pt idx="937">
                  <c:v>60</c:v>
                </c:pt>
                <c:pt idx="938">
                  <c:v>60</c:v>
                </c:pt>
                <c:pt idx="939">
                  <c:v>60.1</c:v>
                </c:pt>
                <c:pt idx="940">
                  <c:v>60.2</c:v>
                </c:pt>
                <c:pt idx="941">
                  <c:v>60.3</c:v>
                </c:pt>
                <c:pt idx="942">
                  <c:v>60.3</c:v>
                </c:pt>
                <c:pt idx="943">
                  <c:v>60.4</c:v>
                </c:pt>
                <c:pt idx="944">
                  <c:v>60.5</c:v>
                </c:pt>
                <c:pt idx="945">
                  <c:v>60.6</c:v>
                </c:pt>
                <c:pt idx="946">
                  <c:v>60.6</c:v>
                </c:pt>
                <c:pt idx="947">
                  <c:v>60.7</c:v>
                </c:pt>
                <c:pt idx="948">
                  <c:v>60.8</c:v>
                </c:pt>
                <c:pt idx="949">
                  <c:v>60.9</c:v>
                </c:pt>
                <c:pt idx="950">
                  <c:v>60.9</c:v>
                </c:pt>
                <c:pt idx="951">
                  <c:v>61</c:v>
                </c:pt>
                <c:pt idx="952">
                  <c:v>61.1</c:v>
                </c:pt>
                <c:pt idx="953">
                  <c:v>61.2</c:v>
                </c:pt>
                <c:pt idx="954">
                  <c:v>61.2</c:v>
                </c:pt>
                <c:pt idx="955">
                  <c:v>61.3</c:v>
                </c:pt>
                <c:pt idx="956">
                  <c:v>61.4</c:v>
                </c:pt>
                <c:pt idx="957">
                  <c:v>61.5</c:v>
                </c:pt>
                <c:pt idx="958">
                  <c:v>61.6</c:v>
                </c:pt>
                <c:pt idx="959">
                  <c:v>61.7</c:v>
                </c:pt>
                <c:pt idx="960">
                  <c:v>61.7</c:v>
                </c:pt>
                <c:pt idx="961">
                  <c:v>61.8</c:v>
                </c:pt>
                <c:pt idx="962">
                  <c:v>61.9</c:v>
                </c:pt>
                <c:pt idx="963">
                  <c:v>62</c:v>
                </c:pt>
                <c:pt idx="964">
                  <c:v>62.1</c:v>
                </c:pt>
                <c:pt idx="965">
                  <c:v>62.2</c:v>
                </c:pt>
                <c:pt idx="966">
                  <c:v>62.3</c:v>
                </c:pt>
                <c:pt idx="967">
                  <c:v>62.3</c:v>
                </c:pt>
                <c:pt idx="968">
                  <c:v>62.4</c:v>
                </c:pt>
                <c:pt idx="969">
                  <c:v>62.5</c:v>
                </c:pt>
                <c:pt idx="970">
                  <c:v>62.6</c:v>
                </c:pt>
                <c:pt idx="971">
                  <c:v>62.7</c:v>
                </c:pt>
                <c:pt idx="972">
                  <c:v>62.8</c:v>
                </c:pt>
                <c:pt idx="973">
                  <c:v>62.9</c:v>
                </c:pt>
                <c:pt idx="974">
                  <c:v>63</c:v>
                </c:pt>
                <c:pt idx="975">
                  <c:v>63.1</c:v>
                </c:pt>
                <c:pt idx="976">
                  <c:v>63.2</c:v>
                </c:pt>
                <c:pt idx="977">
                  <c:v>63.3</c:v>
                </c:pt>
                <c:pt idx="978">
                  <c:v>63.4</c:v>
                </c:pt>
                <c:pt idx="979">
                  <c:v>63.5</c:v>
                </c:pt>
                <c:pt idx="980">
                  <c:v>63.6</c:v>
                </c:pt>
                <c:pt idx="981">
                  <c:v>63.6</c:v>
                </c:pt>
                <c:pt idx="982">
                  <c:v>63.7</c:v>
                </c:pt>
                <c:pt idx="983">
                  <c:v>63.8</c:v>
                </c:pt>
                <c:pt idx="984">
                  <c:v>63.9</c:v>
                </c:pt>
                <c:pt idx="985">
                  <c:v>64</c:v>
                </c:pt>
                <c:pt idx="986">
                  <c:v>64.099999999999994</c:v>
                </c:pt>
                <c:pt idx="987">
                  <c:v>64.2</c:v>
                </c:pt>
                <c:pt idx="988">
                  <c:v>64.400000000000006</c:v>
                </c:pt>
                <c:pt idx="989">
                  <c:v>64.5</c:v>
                </c:pt>
                <c:pt idx="990">
                  <c:v>64.599999999999994</c:v>
                </c:pt>
                <c:pt idx="991">
                  <c:v>64.7</c:v>
                </c:pt>
                <c:pt idx="992">
                  <c:v>64.8</c:v>
                </c:pt>
                <c:pt idx="993">
                  <c:v>64.900000000000006</c:v>
                </c:pt>
                <c:pt idx="994">
                  <c:v>65</c:v>
                </c:pt>
                <c:pt idx="995">
                  <c:v>65.099999999999994</c:v>
                </c:pt>
                <c:pt idx="996">
                  <c:v>65.2</c:v>
                </c:pt>
                <c:pt idx="997">
                  <c:v>65.3</c:v>
                </c:pt>
                <c:pt idx="998">
                  <c:v>65.400000000000006</c:v>
                </c:pt>
                <c:pt idx="999">
                  <c:v>65.5</c:v>
                </c:pt>
                <c:pt idx="1000">
                  <c:v>65.599999999999994</c:v>
                </c:pt>
                <c:pt idx="1001">
                  <c:v>65.8</c:v>
                </c:pt>
                <c:pt idx="1002">
                  <c:v>65.900000000000006</c:v>
                </c:pt>
                <c:pt idx="1003">
                  <c:v>66</c:v>
                </c:pt>
                <c:pt idx="1004">
                  <c:v>66.099999999999994</c:v>
                </c:pt>
                <c:pt idx="1005">
                  <c:v>66.2</c:v>
                </c:pt>
                <c:pt idx="1006">
                  <c:v>66.3</c:v>
                </c:pt>
                <c:pt idx="1007">
                  <c:v>66.5</c:v>
                </c:pt>
                <c:pt idx="1008">
                  <c:v>66.599999999999994</c:v>
                </c:pt>
                <c:pt idx="1009">
                  <c:v>66.7</c:v>
                </c:pt>
                <c:pt idx="1010">
                  <c:v>66.8</c:v>
                </c:pt>
                <c:pt idx="1011">
                  <c:v>67</c:v>
                </c:pt>
                <c:pt idx="1012">
                  <c:v>67.099999999999994</c:v>
                </c:pt>
                <c:pt idx="1013">
                  <c:v>67.2</c:v>
                </c:pt>
                <c:pt idx="1014">
                  <c:v>67.3</c:v>
                </c:pt>
                <c:pt idx="1015">
                  <c:v>67.5</c:v>
                </c:pt>
                <c:pt idx="1016">
                  <c:v>67.599999999999994</c:v>
                </c:pt>
                <c:pt idx="1017">
                  <c:v>67.7</c:v>
                </c:pt>
                <c:pt idx="1018">
                  <c:v>67.8</c:v>
                </c:pt>
                <c:pt idx="1019">
                  <c:v>68</c:v>
                </c:pt>
                <c:pt idx="1020">
                  <c:v>68.099999999999994</c:v>
                </c:pt>
                <c:pt idx="1021">
                  <c:v>68.3</c:v>
                </c:pt>
                <c:pt idx="1022">
                  <c:v>68.400000000000006</c:v>
                </c:pt>
                <c:pt idx="1023">
                  <c:v>68.5</c:v>
                </c:pt>
                <c:pt idx="1024">
                  <c:v>68.7</c:v>
                </c:pt>
                <c:pt idx="1025">
                  <c:v>68.8</c:v>
                </c:pt>
                <c:pt idx="1026">
                  <c:v>68.900000000000006</c:v>
                </c:pt>
                <c:pt idx="1027">
                  <c:v>69.099999999999994</c:v>
                </c:pt>
                <c:pt idx="1028">
                  <c:v>69.2</c:v>
                </c:pt>
                <c:pt idx="1029">
                  <c:v>69.400000000000006</c:v>
                </c:pt>
                <c:pt idx="1030">
                  <c:v>69.5</c:v>
                </c:pt>
                <c:pt idx="1031">
                  <c:v>69.7</c:v>
                </c:pt>
                <c:pt idx="1032">
                  <c:v>69.8</c:v>
                </c:pt>
                <c:pt idx="1033">
                  <c:v>70</c:v>
                </c:pt>
                <c:pt idx="1034">
                  <c:v>70.099999999999994</c:v>
                </c:pt>
                <c:pt idx="1035">
                  <c:v>70.3</c:v>
                </c:pt>
                <c:pt idx="1036">
                  <c:v>70.400000000000006</c:v>
                </c:pt>
                <c:pt idx="1037">
                  <c:v>70.599999999999994</c:v>
                </c:pt>
                <c:pt idx="1038">
                  <c:v>70.8</c:v>
                </c:pt>
                <c:pt idx="1039">
                  <c:v>70.900000000000006</c:v>
                </c:pt>
                <c:pt idx="1040">
                  <c:v>71.099999999999994</c:v>
                </c:pt>
                <c:pt idx="1041">
                  <c:v>71.3</c:v>
                </c:pt>
                <c:pt idx="1042">
                  <c:v>71.400000000000006</c:v>
                </c:pt>
                <c:pt idx="1043">
                  <c:v>71.599999999999994</c:v>
                </c:pt>
                <c:pt idx="1044">
                  <c:v>71.8</c:v>
                </c:pt>
                <c:pt idx="1045">
                  <c:v>72</c:v>
                </c:pt>
                <c:pt idx="1046">
                  <c:v>72.099999999999994</c:v>
                </c:pt>
                <c:pt idx="1047">
                  <c:v>72.3</c:v>
                </c:pt>
                <c:pt idx="1048">
                  <c:v>72.5</c:v>
                </c:pt>
                <c:pt idx="1049">
                  <c:v>72.7</c:v>
                </c:pt>
                <c:pt idx="1050">
                  <c:v>72.900000000000006</c:v>
                </c:pt>
                <c:pt idx="1051">
                  <c:v>73.099999999999994</c:v>
                </c:pt>
                <c:pt idx="1052">
                  <c:v>73.2</c:v>
                </c:pt>
                <c:pt idx="1053">
                  <c:v>73.400000000000006</c:v>
                </c:pt>
                <c:pt idx="1054">
                  <c:v>73.599999999999994</c:v>
                </c:pt>
                <c:pt idx="1055">
                  <c:v>73.8</c:v>
                </c:pt>
                <c:pt idx="1056">
                  <c:v>74</c:v>
                </c:pt>
                <c:pt idx="1057">
                  <c:v>74.3</c:v>
                </c:pt>
                <c:pt idx="1058">
                  <c:v>74.5</c:v>
                </c:pt>
                <c:pt idx="1059">
                  <c:v>74.7</c:v>
                </c:pt>
                <c:pt idx="1060">
                  <c:v>74.900000000000006</c:v>
                </c:pt>
                <c:pt idx="1061">
                  <c:v>75.099999999999994</c:v>
                </c:pt>
                <c:pt idx="1062">
                  <c:v>75.3</c:v>
                </c:pt>
                <c:pt idx="1063">
                  <c:v>75.599999999999994</c:v>
                </c:pt>
                <c:pt idx="1064">
                  <c:v>75.8</c:v>
                </c:pt>
                <c:pt idx="1065">
                  <c:v>76</c:v>
                </c:pt>
                <c:pt idx="1066">
                  <c:v>76.3</c:v>
                </c:pt>
                <c:pt idx="1067">
                  <c:v>76.5</c:v>
                </c:pt>
                <c:pt idx="1068">
                  <c:v>76.7</c:v>
                </c:pt>
                <c:pt idx="1069">
                  <c:v>77</c:v>
                </c:pt>
                <c:pt idx="1070">
                  <c:v>77.3</c:v>
                </c:pt>
                <c:pt idx="1071">
                  <c:v>77.5</c:v>
                </c:pt>
                <c:pt idx="1072">
                  <c:v>77.8</c:v>
                </c:pt>
                <c:pt idx="1073">
                  <c:v>78.099999999999994</c:v>
                </c:pt>
                <c:pt idx="1074">
                  <c:v>78.3</c:v>
                </c:pt>
                <c:pt idx="1075">
                  <c:v>78.599999999999994</c:v>
                </c:pt>
                <c:pt idx="1076">
                  <c:v>78.900000000000006</c:v>
                </c:pt>
                <c:pt idx="1077">
                  <c:v>79.2</c:v>
                </c:pt>
                <c:pt idx="1078">
                  <c:v>79.5</c:v>
                </c:pt>
                <c:pt idx="1079">
                  <c:v>79.8</c:v>
                </c:pt>
                <c:pt idx="1080">
                  <c:v>80.099999999999994</c:v>
                </c:pt>
                <c:pt idx="1081">
                  <c:v>80.400000000000006</c:v>
                </c:pt>
                <c:pt idx="1082">
                  <c:v>80.7</c:v>
                </c:pt>
                <c:pt idx="1083">
                  <c:v>81.099999999999994</c:v>
                </c:pt>
                <c:pt idx="1084">
                  <c:v>81.400000000000006</c:v>
                </c:pt>
                <c:pt idx="1085">
                  <c:v>81.8</c:v>
                </c:pt>
                <c:pt idx="1086">
                  <c:v>82.1</c:v>
                </c:pt>
                <c:pt idx="1087">
                  <c:v>82.5</c:v>
                </c:pt>
                <c:pt idx="1088">
                  <c:v>82.8</c:v>
                </c:pt>
                <c:pt idx="1089">
                  <c:v>83.2</c:v>
                </c:pt>
                <c:pt idx="1090">
                  <c:v>83.6</c:v>
                </c:pt>
                <c:pt idx="1091">
                  <c:v>84</c:v>
                </c:pt>
                <c:pt idx="1092">
                  <c:v>84.4</c:v>
                </c:pt>
                <c:pt idx="1093">
                  <c:v>84.8</c:v>
                </c:pt>
                <c:pt idx="1094">
                  <c:v>85.3</c:v>
                </c:pt>
                <c:pt idx="1095">
                  <c:v>85.7</c:v>
                </c:pt>
                <c:pt idx="1096">
                  <c:v>86.2</c:v>
                </c:pt>
                <c:pt idx="1097">
                  <c:v>86.7</c:v>
                </c:pt>
                <c:pt idx="1098">
                  <c:v>87.1</c:v>
                </c:pt>
                <c:pt idx="1099">
                  <c:v>87.6</c:v>
                </c:pt>
                <c:pt idx="1100">
                  <c:v>88.1</c:v>
                </c:pt>
                <c:pt idx="1101">
                  <c:v>88.7</c:v>
                </c:pt>
                <c:pt idx="1102">
                  <c:v>89.2</c:v>
                </c:pt>
                <c:pt idx="1103">
                  <c:v>89.8</c:v>
                </c:pt>
                <c:pt idx="1104">
                  <c:v>90.3</c:v>
                </c:pt>
                <c:pt idx="1105">
                  <c:v>90.9</c:v>
                </c:pt>
                <c:pt idx="1106">
                  <c:v>91.6</c:v>
                </c:pt>
                <c:pt idx="1107">
                  <c:v>92.2</c:v>
                </c:pt>
                <c:pt idx="1108">
                  <c:v>92.8</c:v>
                </c:pt>
                <c:pt idx="1109">
                  <c:v>93.5</c:v>
                </c:pt>
                <c:pt idx="1110">
                  <c:v>94.2</c:v>
                </c:pt>
                <c:pt idx="1111">
                  <c:v>95</c:v>
                </c:pt>
                <c:pt idx="1112">
                  <c:v>95.7</c:v>
                </c:pt>
                <c:pt idx="1113">
                  <c:v>96.5</c:v>
                </c:pt>
                <c:pt idx="1114">
                  <c:v>97.3</c:v>
                </c:pt>
                <c:pt idx="1115">
                  <c:v>98.1</c:v>
                </c:pt>
                <c:pt idx="1116">
                  <c:v>99</c:v>
                </c:pt>
                <c:pt idx="1117">
                  <c:v>99.9</c:v>
                </c:pt>
                <c:pt idx="1118">
                  <c:v>100.9</c:v>
                </c:pt>
                <c:pt idx="1119">
                  <c:v>101.8</c:v>
                </c:pt>
                <c:pt idx="1120">
                  <c:v>102.9</c:v>
                </c:pt>
                <c:pt idx="1121">
                  <c:v>103.9</c:v>
                </c:pt>
                <c:pt idx="1122">
                  <c:v>105</c:v>
                </c:pt>
                <c:pt idx="1123">
                  <c:v>106.2</c:v>
                </c:pt>
                <c:pt idx="1124">
                  <c:v>107.4</c:v>
                </c:pt>
                <c:pt idx="1125">
                  <c:v>108.6</c:v>
                </c:pt>
                <c:pt idx="1126">
                  <c:v>110</c:v>
                </c:pt>
                <c:pt idx="1127">
                  <c:v>111.3</c:v>
                </c:pt>
                <c:pt idx="1128">
                  <c:v>112.8</c:v>
                </c:pt>
                <c:pt idx="1129">
                  <c:v>114.3</c:v>
                </c:pt>
                <c:pt idx="1130">
                  <c:v>115.9</c:v>
                </c:pt>
                <c:pt idx="1131">
                  <c:v>117.5</c:v>
                </c:pt>
                <c:pt idx="1132">
                  <c:v>119.2</c:v>
                </c:pt>
                <c:pt idx="1133">
                  <c:v>121.1</c:v>
                </c:pt>
                <c:pt idx="1134">
                  <c:v>123</c:v>
                </c:pt>
                <c:pt idx="1135">
                  <c:v>125</c:v>
                </c:pt>
                <c:pt idx="1136">
                  <c:v>127.1</c:v>
                </c:pt>
                <c:pt idx="1137">
                  <c:v>129.30000000000001</c:v>
                </c:pt>
                <c:pt idx="1138">
                  <c:v>131.69999999999999</c:v>
                </c:pt>
                <c:pt idx="1139">
                  <c:v>134.19999999999999</c:v>
                </c:pt>
                <c:pt idx="1140">
                  <c:v>136.80000000000001</c:v>
                </c:pt>
                <c:pt idx="1141">
                  <c:v>139.5</c:v>
                </c:pt>
                <c:pt idx="1142">
                  <c:v>142.4</c:v>
                </c:pt>
                <c:pt idx="1143">
                  <c:v>145.5</c:v>
                </c:pt>
                <c:pt idx="1144">
                  <c:v>148.69999999999999</c:v>
                </c:pt>
                <c:pt idx="1145">
                  <c:v>152.19999999999999</c:v>
                </c:pt>
                <c:pt idx="1146">
                  <c:v>155.80000000000001</c:v>
                </c:pt>
                <c:pt idx="1147">
                  <c:v>159.6</c:v>
                </c:pt>
                <c:pt idx="1148">
                  <c:v>163.6</c:v>
                </c:pt>
                <c:pt idx="1149">
                  <c:v>167.8</c:v>
                </c:pt>
                <c:pt idx="1150">
                  <c:v>172.3</c:v>
                </c:pt>
                <c:pt idx="1151">
                  <c:v>177</c:v>
                </c:pt>
                <c:pt idx="1152">
                  <c:v>181.9</c:v>
                </c:pt>
                <c:pt idx="1153">
                  <c:v>187.1</c:v>
                </c:pt>
                <c:pt idx="1154">
                  <c:v>192.5</c:v>
                </c:pt>
                <c:pt idx="1155">
                  <c:v>198.1</c:v>
                </c:pt>
                <c:pt idx="1156">
                  <c:v>203.9</c:v>
                </c:pt>
                <c:pt idx="1157">
                  <c:v>210</c:v>
                </c:pt>
                <c:pt idx="1158">
                  <c:v>216.2</c:v>
                </c:pt>
                <c:pt idx="1159">
                  <c:v>222.5</c:v>
                </c:pt>
                <c:pt idx="1160">
                  <c:v>228.9</c:v>
                </c:pt>
                <c:pt idx="1161">
                  <c:v>235.2</c:v>
                </c:pt>
                <c:pt idx="1162">
                  <c:v>241.5</c:v>
                </c:pt>
                <c:pt idx="1163">
                  <c:v>247.5</c:v>
                </c:pt>
                <c:pt idx="1164">
                  <c:v>253.3</c:v>
                </c:pt>
                <c:pt idx="1165">
                  <c:v>258.60000000000002</c:v>
                </c:pt>
                <c:pt idx="1166">
                  <c:v>263.39999999999998</c:v>
                </c:pt>
                <c:pt idx="1167">
                  <c:v>267.60000000000002</c:v>
                </c:pt>
                <c:pt idx="1168">
                  <c:v>271.10000000000002</c:v>
                </c:pt>
                <c:pt idx="1169">
                  <c:v>273.89999999999998</c:v>
                </c:pt>
                <c:pt idx="1170">
                  <c:v>276</c:v>
                </c:pt>
                <c:pt idx="1171">
                  <c:v>277.5</c:v>
                </c:pt>
                <c:pt idx="1172">
                  <c:v>278.60000000000002</c:v>
                </c:pt>
                <c:pt idx="1173">
                  <c:v>279.3</c:v>
                </c:pt>
                <c:pt idx="1174">
                  <c:v>279.8</c:v>
                </c:pt>
                <c:pt idx="1175">
                  <c:v>280.2</c:v>
                </c:pt>
                <c:pt idx="1176">
                  <c:v>280.39999999999998</c:v>
                </c:pt>
                <c:pt idx="1177">
                  <c:v>280.5</c:v>
                </c:pt>
                <c:pt idx="1178">
                  <c:v>280.5</c:v>
                </c:pt>
                <c:pt idx="1179">
                  <c:v>280.39999999999998</c:v>
                </c:pt>
                <c:pt idx="1180">
                  <c:v>280.2</c:v>
                </c:pt>
                <c:pt idx="1181">
                  <c:v>279.89999999999998</c:v>
                </c:pt>
                <c:pt idx="1182">
                  <c:v>279.39999999999998</c:v>
                </c:pt>
                <c:pt idx="1183">
                  <c:v>278.60000000000002</c:v>
                </c:pt>
                <c:pt idx="1184">
                  <c:v>277.60000000000002</c:v>
                </c:pt>
                <c:pt idx="1185">
                  <c:v>276.10000000000002</c:v>
                </c:pt>
                <c:pt idx="1186">
                  <c:v>274</c:v>
                </c:pt>
                <c:pt idx="1187">
                  <c:v>271.3</c:v>
                </c:pt>
                <c:pt idx="1188">
                  <c:v>267.89999999999998</c:v>
                </c:pt>
                <c:pt idx="1189">
                  <c:v>263.89999999999998</c:v>
                </c:pt>
                <c:pt idx="1190">
                  <c:v>259.2</c:v>
                </c:pt>
              </c:numCache>
            </c:numRef>
          </c:yVal>
          <c:smooth val="1"/>
          <c:extLst>
            <c:ext xmlns:c16="http://schemas.microsoft.com/office/drawing/2014/chart" uri="{C3380CC4-5D6E-409C-BE32-E72D297353CC}">
              <c16:uniqueId val="{00000002-D0C2-4062-87FE-5E1C210436C2}"/>
            </c:ext>
          </c:extLst>
        </c:ser>
        <c:dLbls>
          <c:showLegendKey val="0"/>
          <c:showVal val="0"/>
          <c:showCatName val="0"/>
          <c:showSerName val="0"/>
          <c:showPercent val="0"/>
          <c:showBubbleSize val="0"/>
        </c:dLbls>
        <c:axId val="-2112370216"/>
        <c:axId val="-2107469800"/>
        <c:extLst/>
      </c:scatterChart>
      <c:valAx>
        <c:axId val="-2112370216"/>
        <c:scaling>
          <c:orientation val="minMax"/>
          <c:max val="120"/>
          <c:min val="0"/>
        </c:scaling>
        <c:delete val="0"/>
        <c:axPos val="b"/>
        <c:majorGridlines/>
        <c:title>
          <c:tx>
            <c:rich>
              <a:bodyPr/>
              <a:lstStyle/>
              <a:p>
                <a:pPr>
                  <a:defRPr sz="1600"/>
                </a:pPr>
                <a:r>
                  <a:rPr lang="en-US" sz="1600"/>
                  <a:t>Frequency, GHz</a:t>
                </a:r>
              </a:p>
            </c:rich>
          </c:tx>
          <c:layout>
            <c:manualLayout>
              <c:xMode val="edge"/>
              <c:yMode val="edge"/>
              <c:x val="0.39077235954218953"/>
              <c:y val="0.93295817135734793"/>
            </c:manualLayout>
          </c:layout>
          <c:overlay val="0"/>
        </c:title>
        <c:numFmt formatCode="0" sourceLinked="0"/>
        <c:majorTickMark val="out"/>
        <c:minorTickMark val="in"/>
        <c:tickLblPos val="nextTo"/>
        <c:spPr>
          <a:ln/>
        </c:spPr>
        <c:txPr>
          <a:bodyPr/>
          <a:lstStyle/>
          <a:p>
            <a:pPr>
              <a:defRPr sz="1400" b="1" i="0" baseline="0"/>
            </a:pPr>
            <a:endParaRPr lang="en-US"/>
          </a:p>
        </c:txPr>
        <c:crossAx val="-2107469800"/>
        <c:crosses val="autoZero"/>
        <c:crossBetween val="midCat"/>
        <c:majorUnit val="10"/>
        <c:minorUnit val="5"/>
      </c:valAx>
      <c:valAx>
        <c:axId val="-2107469800"/>
        <c:scaling>
          <c:orientation val="minMax"/>
          <c:max val="300"/>
        </c:scaling>
        <c:delete val="0"/>
        <c:axPos val="l"/>
        <c:majorGridlines/>
        <c:numFmt formatCode="General" sourceLinked="1"/>
        <c:majorTickMark val="out"/>
        <c:minorTickMark val="none"/>
        <c:tickLblPos val="nextTo"/>
        <c:txPr>
          <a:bodyPr/>
          <a:lstStyle/>
          <a:p>
            <a:pPr>
              <a:defRPr sz="1400" b="1" i="0" baseline="0"/>
            </a:pPr>
            <a:endParaRPr lang="en-US"/>
          </a:p>
        </c:txPr>
        <c:crossAx val="-2112370216"/>
        <c:crosses val="autoZero"/>
        <c:crossBetween val="midCat"/>
      </c:valAx>
    </c:plotArea>
    <c:legend>
      <c:legendPos val="r"/>
      <c:layout>
        <c:manualLayout>
          <c:xMode val="edge"/>
          <c:yMode val="edge"/>
          <c:x val="0.10570285052002901"/>
          <c:y val="9.9711319731752998E-2"/>
          <c:w val="0.12725901890616076"/>
          <c:h val="0.19547097012777054"/>
        </c:manualLayout>
      </c:layout>
      <c:overlay val="0"/>
      <c:spPr>
        <a:solidFill>
          <a:schemeClr val="bg1"/>
        </a:solidFill>
      </c:spPr>
      <c:txPr>
        <a:bodyPr/>
        <a:lstStyle/>
        <a:p>
          <a:pPr>
            <a:defRPr sz="1400" b="1" i="0"/>
          </a:pPr>
          <a:endParaRPr lang="en-US"/>
        </a:p>
      </c:txPr>
    </c:legend>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Tatm for VLA Site, 15 deg. Elevation</a:t>
            </a:r>
          </a:p>
        </c:rich>
      </c:tx>
      <c:layout>
        <c:manualLayout>
          <c:xMode val="edge"/>
          <c:yMode val="edge"/>
          <c:x val="0.29683616530984264"/>
          <c:y val="0"/>
        </c:manualLayout>
      </c:layout>
      <c:overlay val="0"/>
    </c:title>
    <c:autoTitleDeleted val="0"/>
    <c:plotArea>
      <c:layout>
        <c:manualLayout>
          <c:layoutTarget val="inner"/>
          <c:xMode val="edge"/>
          <c:yMode val="edge"/>
          <c:x val="6.9044735917186781E-2"/>
          <c:y val="7.4002748014091985E-2"/>
          <c:w val="0.88555754464972514"/>
          <c:h val="0.78411882452331705"/>
        </c:manualLayout>
      </c:layout>
      <c:scatterChart>
        <c:scatterStyle val="smoothMarker"/>
        <c:varyColors val="0"/>
        <c:ser>
          <c:idx val="3"/>
          <c:order val="0"/>
          <c:tx>
            <c:strRef>
              <c:f>Tatm!$N$5</c:f>
              <c:strCache>
                <c:ptCount val="1"/>
                <c:pt idx="0">
                  <c:v>1</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Tatm!$N$6:$N$1196</c:f>
              <c:numCache>
                <c:formatCode>General</c:formatCode>
                <c:ptCount val="1191"/>
                <c:pt idx="0">
                  <c:v>7.2</c:v>
                </c:pt>
                <c:pt idx="1">
                  <c:v>7.3</c:v>
                </c:pt>
                <c:pt idx="2">
                  <c:v>7.4</c:v>
                </c:pt>
                <c:pt idx="3">
                  <c:v>7.4</c:v>
                </c:pt>
                <c:pt idx="4">
                  <c:v>7.5</c:v>
                </c:pt>
                <c:pt idx="5">
                  <c:v>7.5</c:v>
                </c:pt>
                <c:pt idx="6">
                  <c:v>7.5</c:v>
                </c:pt>
                <c:pt idx="7">
                  <c:v>7.5</c:v>
                </c:pt>
                <c:pt idx="8">
                  <c:v>7.6</c:v>
                </c:pt>
                <c:pt idx="9">
                  <c:v>7.6</c:v>
                </c:pt>
                <c:pt idx="10">
                  <c:v>7.6</c:v>
                </c:pt>
                <c:pt idx="11">
                  <c:v>7.6</c:v>
                </c:pt>
                <c:pt idx="12">
                  <c:v>7.6</c:v>
                </c:pt>
                <c:pt idx="13">
                  <c:v>7.7</c:v>
                </c:pt>
                <c:pt idx="14">
                  <c:v>7.7</c:v>
                </c:pt>
                <c:pt idx="15">
                  <c:v>7.7</c:v>
                </c:pt>
                <c:pt idx="16">
                  <c:v>7.7</c:v>
                </c:pt>
                <c:pt idx="17">
                  <c:v>7.7</c:v>
                </c:pt>
                <c:pt idx="18">
                  <c:v>7.7</c:v>
                </c:pt>
                <c:pt idx="19">
                  <c:v>7.7</c:v>
                </c:pt>
                <c:pt idx="20">
                  <c:v>7.7</c:v>
                </c:pt>
                <c:pt idx="21">
                  <c:v>7.7</c:v>
                </c:pt>
                <c:pt idx="22">
                  <c:v>7.7</c:v>
                </c:pt>
                <c:pt idx="23">
                  <c:v>7.7</c:v>
                </c:pt>
                <c:pt idx="24">
                  <c:v>7.8</c:v>
                </c:pt>
                <c:pt idx="25">
                  <c:v>7.8</c:v>
                </c:pt>
                <c:pt idx="26">
                  <c:v>7.8</c:v>
                </c:pt>
                <c:pt idx="27">
                  <c:v>7.8</c:v>
                </c:pt>
                <c:pt idx="28">
                  <c:v>7.8</c:v>
                </c:pt>
                <c:pt idx="29">
                  <c:v>7.8</c:v>
                </c:pt>
                <c:pt idx="30">
                  <c:v>7.8</c:v>
                </c:pt>
                <c:pt idx="31">
                  <c:v>7.8</c:v>
                </c:pt>
                <c:pt idx="32">
                  <c:v>7.8</c:v>
                </c:pt>
                <c:pt idx="33">
                  <c:v>7.8</c:v>
                </c:pt>
                <c:pt idx="34">
                  <c:v>7.8</c:v>
                </c:pt>
                <c:pt idx="35">
                  <c:v>7.8</c:v>
                </c:pt>
                <c:pt idx="36">
                  <c:v>7.8</c:v>
                </c:pt>
                <c:pt idx="37">
                  <c:v>7.8</c:v>
                </c:pt>
                <c:pt idx="38">
                  <c:v>7.9</c:v>
                </c:pt>
                <c:pt idx="39">
                  <c:v>7.9</c:v>
                </c:pt>
                <c:pt idx="40">
                  <c:v>7.9</c:v>
                </c:pt>
                <c:pt idx="41">
                  <c:v>7.9</c:v>
                </c:pt>
                <c:pt idx="42">
                  <c:v>7.9</c:v>
                </c:pt>
                <c:pt idx="43">
                  <c:v>7.9</c:v>
                </c:pt>
                <c:pt idx="44">
                  <c:v>7.9</c:v>
                </c:pt>
                <c:pt idx="45">
                  <c:v>7.9</c:v>
                </c:pt>
                <c:pt idx="46">
                  <c:v>7.9</c:v>
                </c:pt>
                <c:pt idx="47">
                  <c:v>7.9</c:v>
                </c:pt>
                <c:pt idx="48">
                  <c:v>7.9</c:v>
                </c:pt>
                <c:pt idx="49">
                  <c:v>7.9</c:v>
                </c:pt>
                <c:pt idx="50">
                  <c:v>8</c:v>
                </c:pt>
                <c:pt idx="51">
                  <c:v>8</c:v>
                </c:pt>
                <c:pt idx="52">
                  <c:v>8</c:v>
                </c:pt>
                <c:pt idx="53">
                  <c:v>8</c:v>
                </c:pt>
                <c:pt idx="54">
                  <c:v>8</c:v>
                </c:pt>
                <c:pt idx="55">
                  <c:v>8</c:v>
                </c:pt>
                <c:pt idx="56">
                  <c:v>8</c:v>
                </c:pt>
                <c:pt idx="57">
                  <c:v>8</c:v>
                </c:pt>
                <c:pt idx="58">
                  <c:v>8</c:v>
                </c:pt>
                <c:pt idx="59">
                  <c:v>8</c:v>
                </c:pt>
                <c:pt idx="60">
                  <c:v>8</c:v>
                </c:pt>
                <c:pt idx="61">
                  <c:v>8.1</c:v>
                </c:pt>
                <c:pt idx="62">
                  <c:v>8.1</c:v>
                </c:pt>
                <c:pt idx="63">
                  <c:v>8.1</c:v>
                </c:pt>
                <c:pt idx="64">
                  <c:v>8.1</c:v>
                </c:pt>
                <c:pt idx="65">
                  <c:v>8.1</c:v>
                </c:pt>
                <c:pt idx="66">
                  <c:v>8.1</c:v>
                </c:pt>
                <c:pt idx="67">
                  <c:v>8.1</c:v>
                </c:pt>
                <c:pt idx="68">
                  <c:v>8.1</c:v>
                </c:pt>
                <c:pt idx="69">
                  <c:v>8.1</c:v>
                </c:pt>
                <c:pt idx="70">
                  <c:v>8.1999999999999993</c:v>
                </c:pt>
                <c:pt idx="71">
                  <c:v>8.1999999999999993</c:v>
                </c:pt>
                <c:pt idx="72">
                  <c:v>8.1999999999999993</c:v>
                </c:pt>
                <c:pt idx="73">
                  <c:v>8.1999999999999993</c:v>
                </c:pt>
                <c:pt idx="74">
                  <c:v>8.1999999999999993</c:v>
                </c:pt>
                <c:pt idx="75">
                  <c:v>8.1999999999999993</c:v>
                </c:pt>
                <c:pt idx="76">
                  <c:v>8.1999999999999993</c:v>
                </c:pt>
                <c:pt idx="77">
                  <c:v>8.1999999999999993</c:v>
                </c:pt>
                <c:pt idx="78">
                  <c:v>8.3000000000000007</c:v>
                </c:pt>
                <c:pt idx="79">
                  <c:v>8.3000000000000007</c:v>
                </c:pt>
                <c:pt idx="80">
                  <c:v>8.3000000000000007</c:v>
                </c:pt>
                <c:pt idx="81">
                  <c:v>8.3000000000000007</c:v>
                </c:pt>
                <c:pt idx="82">
                  <c:v>8.3000000000000007</c:v>
                </c:pt>
                <c:pt idx="83">
                  <c:v>8.3000000000000007</c:v>
                </c:pt>
                <c:pt idx="84">
                  <c:v>8.3000000000000007</c:v>
                </c:pt>
                <c:pt idx="85">
                  <c:v>8.3000000000000007</c:v>
                </c:pt>
                <c:pt idx="86">
                  <c:v>8.4</c:v>
                </c:pt>
                <c:pt idx="87">
                  <c:v>8.4</c:v>
                </c:pt>
                <c:pt idx="88">
                  <c:v>8.4</c:v>
                </c:pt>
                <c:pt idx="89">
                  <c:v>8.4</c:v>
                </c:pt>
                <c:pt idx="90">
                  <c:v>8.4</c:v>
                </c:pt>
                <c:pt idx="91">
                  <c:v>8.4</c:v>
                </c:pt>
                <c:pt idx="92">
                  <c:v>8.5</c:v>
                </c:pt>
                <c:pt idx="93">
                  <c:v>8.5</c:v>
                </c:pt>
                <c:pt idx="94">
                  <c:v>8.5</c:v>
                </c:pt>
                <c:pt idx="95">
                  <c:v>8.5</c:v>
                </c:pt>
                <c:pt idx="96">
                  <c:v>8.5</c:v>
                </c:pt>
                <c:pt idx="97">
                  <c:v>8.5</c:v>
                </c:pt>
                <c:pt idx="98">
                  <c:v>8.5</c:v>
                </c:pt>
                <c:pt idx="99">
                  <c:v>8.6</c:v>
                </c:pt>
                <c:pt idx="100">
                  <c:v>8.6</c:v>
                </c:pt>
                <c:pt idx="101">
                  <c:v>8.6</c:v>
                </c:pt>
                <c:pt idx="102">
                  <c:v>8.6</c:v>
                </c:pt>
                <c:pt idx="103">
                  <c:v>8.6</c:v>
                </c:pt>
                <c:pt idx="104">
                  <c:v>8.6999999999999993</c:v>
                </c:pt>
                <c:pt idx="105">
                  <c:v>8.6999999999999993</c:v>
                </c:pt>
                <c:pt idx="106">
                  <c:v>8.6999999999999993</c:v>
                </c:pt>
                <c:pt idx="107">
                  <c:v>8.6999999999999993</c:v>
                </c:pt>
                <c:pt idx="108">
                  <c:v>8.6999999999999993</c:v>
                </c:pt>
                <c:pt idx="109">
                  <c:v>8.6999999999999993</c:v>
                </c:pt>
                <c:pt idx="110">
                  <c:v>8.8000000000000007</c:v>
                </c:pt>
                <c:pt idx="111">
                  <c:v>8.8000000000000007</c:v>
                </c:pt>
                <c:pt idx="112">
                  <c:v>8.8000000000000007</c:v>
                </c:pt>
                <c:pt idx="113">
                  <c:v>8.8000000000000007</c:v>
                </c:pt>
                <c:pt idx="114">
                  <c:v>8.8000000000000007</c:v>
                </c:pt>
                <c:pt idx="115">
                  <c:v>8.9</c:v>
                </c:pt>
                <c:pt idx="116">
                  <c:v>8.9</c:v>
                </c:pt>
                <c:pt idx="117">
                  <c:v>8.9</c:v>
                </c:pt>
                <c:pt idx="118">
                  <c:v>8.9</c:v>
                </c:pt>
                <c:pt idx="119">
                  <c:v>9</c:v>
                </c:pt>
                <c:pt idx="120">
                  <c:v>9</c:v>
                </c:pt>
                <c:pt idx="121">
                  <c:v>9</c:v>
                </c:pt>
                <c:pt idx="122">
                  <c:v>9</c:v>
                </c:pt>
                <c:pt idx="123">
                  <c:v>9.1</c:v>
                </c:pt>
                <c:pt idx="124">
                  <c:v>9.1</c:v>
                </c:pt>
                <c:pt idx="125">
                  <c:v>9.1</c:v>
                </c:pt>
                <c:pt idx="126">
                  <c:v>9.1</c:v>
                </c:pt>
                <c:pt idx="127">
                  <c:v>9.1</c:v>
                </c:pt>
                <c:pt idx="128">
                  <c:v>9.1999999999999993</c:v>
                </c:pt>
                <c:pt idx="129">
                  <c:v>9.1999999999999993</c:v>
                </c:pt>
                <c:pt idx="130">
                  <c:v>9.1999999999999993</c:v>
                </c:pt>
                <c:pt idx="131">
                  <c:v>9.3000000000000007</c:v>
                </c:pt>
                <c:pt idx="132">
                  <c:v>9.3000000000000007</c:v>
                </c:pt>
                <c:pt idx="133">
                  <c:v>9.3000000000000007</c:v>
                </c:pt>
                <c:pt idx="134">
                  <c:v>9.3000000000000007</c:v>
                </c:pt>
                <c:pt idx="135">
                  <c:v>9.4</c:v>
                </c:pt>
                <c:pt idx="136">
                  <c:v>9.4</c:v>
                </c:pt>
                <c:pt idx="137">
                  <c:v>9.4</c:v>
                </c:pt>
                <c:pt idx="138">
                  <c:v>9.5</c:v>
                </c:pt>
                <c:pt idx="139">
                  <c:v>9.5</c:v>
                </c:pt>
                <c:pt idx="140">
                  <c:v>9.5</c:v>
                </c:pt>
                <c:pt idx="141">
                  <c:v>9.5</c:v>
                </c:pt>
                <c:pt idx="142">
                  <c:v>9.6</c:v>
                </c:pt>
                <c:pt idx="143">
                  <c:v>9.6</c:v>
                </c:pt>
                <c:pt idx="144">
                  <c:v>9.6</c:v>
                </c:pt>
                <c:pt idx="145">
                  <c:v>9.6999999999999993</c:v>
                </c:pt>
                <c:pt idx="146">
                  <c:v>9.6999999999999993</c:v>
                </c:pt>
                <c:pt idx="147">
                  <c:v>9.8000000000000007</c:v>
                </c:pt>
                <c:pt idx="148">
                  <c:v>9.8000000000000007</c:v>
                </c:pt>
                <c:pt idx="149">
                  <c:v>9.8000000000000007</c:v>
                </c:pt>
                <c:pt idx="150">
                  <c:v>9.9</c:v>
                </c:pt>
                <c:pt idx="151">
                  <c:v>9.9</c:v>
                </c:pt>
                <c:pt idx="152">
                  <c:v>9.9</c:v>
                </c:pt>
                <c:pt idx="153">
                  <c:v>10</c:v>
                </c:pt>
                <c:pt idx="154">
                  <c:v>10</c:v>
                </c:pt>
                <c:pt idx="155">
                  <c:v>10.1</c:v>
                </c:pt>
                <c:pt idx="156">
                  <c:v>10.1</c:v>
                </c:pt>
                <c:pt idx="157">
                  <c:v>10.199999999999999</c:v>
                </c:pt>
                <c:pt idx="158">
                  <c:v>10.199999999999999</c:v>
                </c:pt>
                <c:pt idx="159">
                  <c:v>10.3</c:v>
                </c:pt>
                <c:pt idx="160">
                  <c:v>10.3</c:v>
                </c:pt>
                <c:pt idx="161">
                  <c:v>10.4</c:v>
                </c:pt>
                <c:pt idx="162">
                  <c:v>10.4</c:v>
                </c:pt>
                <c:pt idx="163">
                  <c:v>10.5</c:v>
                </c:pt>
                <c:pt idx="164">
                  <c:v>10.5</c:v>
                </c:pt>
                <c:pt idx="165">
                  <c:v>10.6</c:v>
                </c:pt>
                <c:pt idx="166">
                  <c:v>10.6</c:v>
                </c:pt>
                <c:pt idx="167">
                  <c:v>10.7</c:v>
                </c:pt>
                <c:pt idx="168">
                  <c:v>10.8</c:v>
                </c:pt>
                <c:pt idx="169">
                  <c:v>10.8</c:v>
                </c:pt>
                <c:pt idx="170">
                  <c:v>10.9</c:v>
                </c:pt>
                <c:pt idx="171">
                  <c:v>11</c:v>
                </c:pt>
                <c:pt idx="172">
                  <c:v>11</c:v>
                </c:pt>
                <c:pt idx="173">
                  <c:v>11.1</c:v>
                </c:pt>
                <c:pt idx="174">
                  <c:v>11.2</c:v>
                </c:pt>
                <c:pt idx="175">
                  <c:v>11.3</c:v>
                </c:pt>
                <c:pt idx="176">
                  <c:v>11.4</c:v>
                </c:pt>
                <c:pt idx="177">
                  <c:v>11.5</c:v>
                </c:pt>
                <c:pt idx="178">
                  <c:v>11.6</c:v>
                </c:pt>
                <c:pt idx="179">
                  <c:v>11.7</c:v>
                </c:pt>
                <c:pt idx="180">
                  <c:v>11.8</c:v>
                </c:pt>
                <c:pt idx="181">
                  <c:v>11.9</c:v>
                </c:pt>
                <c:pt idx="182">
                  <c:v>12</c:v>
                </c:pt>
                <c:pt idx="183">
                  <c:v>12.1</c:v>
                </c:pt>
                <c:pt idx="184">
                  <c:v>12.2</c:v>
                </c:pt>
                <c:pt idx="185">
                  <c:v>12.4</c:v>
                </c:pt>
                <c:pt idx="186">
                  <c:v>12.5</c:v>
                </c:pt>
                <c:pt idx="187">
                  <c:v>12.7</c:v>
                </c:pt>
                <c:pt idx="188">
                  <c:v>12.8</c:v>
                </c:pt>
                <c:pt idx="189">
                  <c:v>13</c:v>
                </c:pt>
                <c:pt idx="190">
                  <c:v>13.2</c:v>
                </c:pt>
                <c:pt idx="191">
                  <c:v>13.4</c:v>
                </c:pt>
                <c:pt idx="192">
                  <c:v>13.6</c:v>
                </c:pt>
                <c:pt idx="193">
                  <c:v>13.8</c:v>
                </c:pt>
                <c:pt idx="194">
                  <c:v>14</c:v>
                </c:pt>
                <c:pt idx="195">
                  <c:v>14.2</c:v>
                </c:pt>
                <c:pt idx="196">
                  <c:v>14.5</c:v>
                </c:pt>
                <c:pt idx="197">
                  <c:v>14.7</c:v>
                </c:pt>
                <c:pt idx="198">
                  <c:v>15</c:v>
                </c:pt>
                <c:pt idx="199">
                  <c:v>15.2</c:v>
                </c:pt>
                <c:pt idx="200">
                  <c:v>15.5</c:v>
                </c:pt>
                <c:pt idx="201">
                  <c:v>15.8</c:v>
                </c:pt>
                <c:pt idx="202">
                  <c:v>16.100000000000001</c:v>
                </c:pt>
                <c:pt idx="203">
                  <c:v>16.399999999999999</c:v>
                </c:pt>
                <c:pt idx="204">
                  <c:v>16.7</c:v>
                </c:pt>
                <c:pt idx="205">
                  <c:v>17</c:v>
                </c:pt>
                <c:pt idx="206">
                  <c:v>17.399999999999999</c:v>
                </c:pt>
                <c:pt idx="207">
                  <c:v>17.600000000000001</c:v>
                </c:pt>
                <c:pt idx="208">
                  <c:v>17.899999999999999</c:v>
                </c:pt>
                <c:pt idx="209">
                  <c:v>18.2</c:v>
                </c:pt>
                <c:pt idx="210">
                  <c:v>18.399999999999999</c:v>
                </c:pt>
                <c:pt idx="211">
                  <c:v>18.600000000000001</c:v>
                </c:pt>
                <c:pt idx="212">
                  <c:v>18.7</c:v>
                </c:pt>
                <c:pt idx="213">
                  <c:v>18.8</c:v>
                </c:pt>
                <c:pt idx="214">
                  <c:v>18.899999999999999</c:v>
                </c:pt>
                <c:pt idx="215">
                  <c:v>18.899999999999999</c:v>
                </c:pt>
                <c:pt idx="216">
                  <c:v>18.899999999999999</c:v>
                </c:pt>
                <c:pt idx="217">
                  <c:v>18.8</c:v>
                </c:pt>
                <c:pt idx="218">
                  <c:v>18.7</c:v>
                </c:pt>
                <c:pt idx="219">
                  <c:v>18.600000000000001</c:v>
                </c:pt>
                <c:pt idx="220">
                  <c:v>18.399999999999999</c:v>
                </c:pt>
                <c:pt idx="221">
                  <c:v>18.3</c:v>
                </c:pt>
                <c:pt idx="222">
                  <c:v>18.100000000000001</c:v>
                </c:pt>
                <c:pt idx="223">
                  <c:v>18</c:v>
                </c:pt>
                <c:pt idx="224">
                  <c:v>17.8</c:v>
                </c:pt>
                <c:pt idx="225">
                  <c:v>17.600000000000001</c:v>
                </c:pt>
                <c:pt idx="226">
                  <c:v>17.5</c:v>
                </c:pt>
                <c:pt idx="227">
                  <c:v>17.3</c:v>
                </c:pt>
                <c:pt idx="228">
                  <c:v>17.2</c:v>
                </c:pt>
                <c:pt idx="229">
                  <c:v>17</c:v>
                </c:pt>
                <c:pt idx="230">
                  <c:v>16.899999999999999</c:v>
                </c:pt>
                <c:pt idx="231">
                  <c:v>16.8</c:v>
                </c:pt>
                <c:pt idx="232">
                  <c:v>16.600000000000001</c:v>
                </c:pt>
                <c:pt idx="233">
                  <c:v>16.5</c:v>
                </c:pt>
                <c:pt idx="234">
                  <c:v>16.399999999999999</c:v>
                </c:pt>
                <c:pt idx="235">
                  <c:v>16.3</c:v>
                </c:pt>
                <c:pt idx="236">
                  <c:v>16.2</c:v>
                </c:pt>
                <c:pt idx="237">
                  <c:v>16.100000000000001</c:v>
                </c:pt>
                <c:pt idx="238">
                  <c:v>16.100000000000001</c:v>
                </c:pt>
                <c:pt idx="239">
                  <c:v>16</c:v>
                </c:pt>
                <c:pt idx="240">
                  <c:v>15.9</c:v>
                </c:pt>
                <c:pt idx="241">
                  <c:v>15.9</c:v>
                </c:pt>
                <c:pt idx="242">
                  <c:v>15.8</c:v>
                </c:pt>
                <c:pt idx="243">
                  <c:v>15.8</c:v>
                </c:pt>
                <c:pt idx="244">
                  <c:v>15.8</c:v>
                </c:pt>
                <c:pt idx="245">
                  <c:v>15.7</c:v>
                </c:pt>
                <c:pt idx="246">
                  <c:v>15.7</c:v>
                </c:pt>
                <c:pt idx="247">
                  <c:v>15.7</c:v>
                </c:pt>
                <c:pt idx="248">
                  <c:v>15.7</c:v>
                </c:pt>
                <c:pt idx="249">
                  <c:v>15.7</c:v>
                </c:pt>
                <c:pt idx="250">
                  <c:v>15.7</c:v>
                </c:pt>
                <c:pt idx="251">
                  <c:v>15.7</c:v>
                </c:pt>
                <c:pt idx="252">
                  <c:v>15.7</c:v>
                </c:pt>
                <c:pt idx="253">
                  <c:v>15.7</c:v>
                </c:pt>
                <c:pt idx="254">
                  <c:v>15.7</c:v>
                </c:pt>
                <c:pt idx="255">
                  <c:v>15.7</c:v>
                </c:pt>
                <c:pt idx="256">
                  <c:v>15.7</c:v>
                </c:pt>
                <c:pt idx="257">
                  <c:v>15.7</c:v>
                </c:pt>
                <c:pt idx="258">
                  <c:v>15.7</c:v>
                </c:pt>
                <c:pt idx="259">
                  <c:v>15.8</c:v>
                </c:pt>
                <c:pt idx="260">
                  <c:v>15.8</c:v>
                </c:pt>
                <c:pt idx="261">
                  <c:v>15.8</c:v>
                </c:pt>
                <c:pt idx="262">
                  <c:v>15.9</c:v>
                </c:pt>
                <c:pt idx="263">
                  <c:v>15.9</c:v>
                </c:pt>
                <c:pt idx="264">
                  <c:v>15.9</c:v>
                </c:pt>
                <c:pt idx="265">
                  <c:v>16</c:v>
                </c:pt>
                <c:pt idx="266">
                  <c:v>16</c:v>
                </c:pt>
                <c:pt idx="267">
                  <c:v>16.100000000000001</c:v>
                </c:pt>
                <c:pt idx="268">
                  <c:v>16.100000000000001</c:v>
                </c:pt>
                <c:pt idx="269">
                  <c:v>16.100000000000001</c:v>
                </c:pt>
                <c:pt idx="270">
                  <c:v>16.2</c:v>
                </c:pt>
                <c:pt idx="271">
                  <c:v>16.2</c:v>
                </c:pt>
                <c:pt idx="272">
                  <c:v>16.3</c:v>
                </c:pt>
                <c:pt idx="273">
                  <c:v>16.3</c:v>
                </c:pt>
                <c:pt idx="274">
                  <c:v>16.399999999999999</c:v>
                </c:pt>
                <c:pt idx="275">
                  <c:v>16.5</c:v>
                </c:pt>
                <c:pt idx="276">
                  <c:v>16.5</c:v>
                </c:pt>
                <c:pt idx="277">
                  <c:v>16.600000000000001</c:v>
                </c:pt>
                <c:pt idx="278">
                  <c:v>16.600000000000001</c:v>
                </c:pt>
                <c:pt idx="279">
                  <c:v>16.7</c:v>
                </c:pt>
                <c:pt idx="280">
                  <c:v>16.8</c:v>
                </c:pt>
                <c:pt idx="281">
                  <c:v>16.8</c:v>
                </c:pt>
                <c:pt idx="282">
                  <c:v>16.899999999999999</c:v>
                </c:pt>
                <c:pt idx="283">
                  <c:v>17</c:v>
                </c:pt>
                <c:pt idx="284">
                  <c:v>17.100000000000001</c:v>
                </c:pt>
                <c:pt idx="285">
                  <c:v>17.100000000000001</c:v>
                </c:pt>
                <c:pt idx="286">
                  <c:v>17.2</c:v>
                </c:pt>
                <c:pt idx="287">
                  <c:v>17.3</c:v>
                </c:pt>
                <c:pt idx="288">
                  <c:v>17.399999999999999</c:v>
                </c:pt>
                <c:pt idx="289">
                  <c:v>17.399999999999999</c:v>
                </c:pt>
                <c:pt idx="290">
                  <c:v>17.5</c:v>
                </c:pt>
                <c:pt idx="291">
                  <c:v>17.600000000000001</c:v>
                </c:pt>
                <c:pt idx="292">
                  <c:v>17.7</c:v>
                </c:pt>
                <c:pt idx="293">
                  <c:v>17.8</c:v>
                </c:pt>
                <c:pt idx="294">
                  <c:v>17.8</c:v>
                </c:pt>
                <c:pt idx="295">
                  <c:v>17.899999999999999</c:v>
                </c:pt>
                <c:pt idx="296">
                  <c:v>18</c:v>
                </c:pt>
                <c:pt idx="297">
                  <c:v>18.100000000000001</c:v>
                </c:pt>
                <c:pt idx="298">
                  <c:v>18.2</c:v>
                </c:pt>
                <c:pt idx="299">
                  <c:v>18.3</c:v>
                </c:pt>
                <c:pt idx="300">
                  <c:v>18.399999999999999</c:v>
                </c:pt>
                <c:pt idx="301">
                  <c:v>18.5</c:v>
                </c:pt>
                <c:pt idx="302">
                  <c:v>18.600000000000001</c:v>
                </c:pt>
                <c:pt idx="303">
                  <c:v>18.7</c:v>
                </c:pt>
                <c:pt idx="304">
                  <c:v>18.8</c:v>
                </c:pt>
                <c:pt idx="305">
                  <c:v>18.899999999999999</c:v>
                </c:pt>
                <c:pt idx="306">
                  <c:v>19</c:v>
                </c:pt>
                <c:pt idx="307">
                  <c:v>19.100000000000001</c:v>
                </c:pt>
                <c:pt idx="308">
                  <c:v>19.2</c:v>
                </c:pt>
                <c:pt idx="309">
                  <c:v>19.3</c:v>
                </c:pt>
                <c:pt idx="310">
                  <c:v>19.399999999999999</c:v>
                </c:pt>
                <c:pt idx="311">
                  <c:v>19.5</c:v>
                </c:pt>
                <c:pt idx="312">
                  <c:v>19.600000000000001</c:v>
                </c:pt>
                <c:pt idx="313">
                  <c:v>19.7</c:v>
                </c:pt>
                <c:pt idx="314">
                  <c:v>19.899999999999999</c:v>
                </c:pt>
                <c:pt idx="315">
                  <c:v>20</c:v>
                </c:pt>
                <c:pt idx="316">
                  <c:v>20.100000000000001</c:v>
                </c:pt>
                <c:pt idx="317">
                  <c:v>20.2</c:v>
                </c:pt>
                <c:pt idx="318">
                  <c:v>20.3</c:v>
                </c:pt>
                <c:pt idx="319">
                  <c:v>20.5</c:v>
                </c:pt>
                <c:pt idx="320">
                  <c:v>20.6</c:v>
                </c:pt>
                <c:pt idx="321">
                  <c:v>20.7</c:v>
                </c:pt>
                <c:pt idx="322">
                  <c:v>20.8</c:v>
                </c:pt>
                <c:pt idx="323">
                  <c:v>21</c:v>
                </c:pt>
                <c:pt idx="324">
                  <c:v>21.1</c:v>
                </c:pt>
                <c:pt idx="325">
                  <c:v>21.2</c:v>
                </c:pt>
                <c:pt idx="326">
                  <c:v>21.4</c:v>
                </c:pt>
                <c:pt idx="327">
                  <c:v>21.5</c:v>
                </c:pt>
                <c:pt idx="328">
                  <c:v>21.6</c:v>
                </c:pt>
                <c:pt idx="329">
                  <c:v>21.8</c:v>
                </c:pt>
                <c:pt idx="330">
                  <c:v>21.9</c:v>
                </c:pt>
                <c:pt idx="331">
                  <c:v>22.1</c:v>
                </c:pt>
                <c:pt idx="332">
                  <c:v>22.2</c:v>
                </c:pt>
                <c:pt idx="333">
                  <c:v>22.3</c:v>
                </c:pt>
                <c:pt idx="334">
                  <c:v>22.5</c:v>
                </c:pt>
                <c:pt idx="335">
                  <c:v>22.6</c:v>
                </c:pt>
                <c:pt idx="336">
                  <c:v>22.8</c:v>
                </c:pt>
                <c:pt idx="337">
                  <c:v>22.9</c:v>
                </c:pt>
                <c:pt idx="338">
                  <c:v>23.1</c:v>
                </c:pt>
                <c:pt idx="339">
                  <c:v>23.3</c:v>
                </c:pt>
                <c:pt idx="340">
                  <c:v>23.4</c:v>
                </c:pt>
                <c:pt idx="341">
                  <c:v>23.6</c:v>
                </c:pt>
                <c:pt idx="342">
                  <c:v>23.8</c:v>
                </c:pt>
                <c:pt idx="343">
                  <c:v>23.9</c:v>
                </c:pt>
                <c:pt idx="344">
                  <c:v>24.1</c:v>
                </c:pt>
                <c:pt idx="345">
                  <c:v>24.3</c:v>
                </c:pt>
                <c:pt idx="346">
                  <c:v>24.4</c:v>
                </c:pt>
                <c:pt idx="347">
                  <c:v>24.6</c:v>
                </c:pt>
                <c:pt idx="348">
                  <c:v>24.8</c:v>
                </c:pt>
                <c:pt idx="349">
                  <c:v>25</c:v>
                </c:pt>
                <c:pt idx="350">
                  <c:v>25.2</c:v>
                </c:pt>
                <c:pt idx="351">
                  <c:v>25.3</c:v>
                </c:pt>
                <c:pt idx="352">
                  <c:v>25.5</c:v>
                </c:pt>
                <c:pt idx="353">
                  <c:v>25.7</c:v>
                </c:pt>
                <c:pt idx="354">
                  <c:v>25.9</c:v>
                </c:pt>
                <c:pt idx="355">
                  <c:v>26.1</c:v>
                </c:pt>
                <c:pt idx="356">
                  <c:v>26.3</c:v>
                </c:pt>
                <c:pt idx="357">
                  <c:v>26.5</c:v>
                </c:pt>
                <c:pt idx="358">
                  <c:v>26.7</c:v>
                </c:pt>
                <c:pt idx="359">
                  <c:v>26.9</c:v>
                </c:pt>
                <c:pt idx="360">
                  <c:v>27.1</c:v>
                </c:pt>
                <c:pt idx="361">
                  <c:v>27.3</c:v>
                </c:pt>
                <c:pt idx="362">
                  <c:v>27.6</c:v>
                </c:pt>
                <c:pt idx="363">
                  <c:v>27.8</c:v>
                </c:pt>
                <c:pt idx="364">
                  <c:v>28</c:v>
                </c:pt>
                <c:pt idx="365">
                  <c:v>28.2</c:v>
                </c:pt>
                <c:pt idx="366">
                  <c:v>28.4</c:v>
                </c:pt>
                <c:pt idx="367">
                  <c:v>28.7</c:v>
                </c:pt>
                <c:pt idx="368">
                  <c:v>28.9</c:v>
                </c:pt>
                <c:pt idx="369">
                  <c:v>29.1</c:v>
                </c:pt>
                <c:pt idx="370">
                  <c:v>29.4</c:v>
                </c:pt>
                <c:pt idx="371">
                  <c:v>29.6</c:v>
                </c:pt>
                <c:pt idx="372">
                  <c:v>29.9</c:v>
                </c:pt>
                <c:pt idx="373">
                  <c:v>30.1</c:v>
                </c:pt>
                <c:pt idx="374">
                  <c:v>30.4</c:v>
                </c:pt>
                <c:pt idx="375">
                  <c:v>30.6</c:v>
                </c:pt>
                <c:pt idx="376">
                  <c:v>30.9</c:v>
                </c:pt>
                <c:pt idx="377">
                  <c:v>31.2</c:v>
                </c:pt>
                <c:pt idx="378">
                  <c:v>31.4</c:v>
                </c:pt>
                <c:pt idx="379">
                  <c:v>31.7</c:v>
                </c:pt>
                <c:pt idx="380">
                  <c:v>32</c:v>
                </c:pt>
                <c:pt idx="381">
                  <c:v>32.299999999999997</c:v>
                </c:pt>
                <c:pt idx="382">
                  <c:v>32.6</c:v>
                </c:pt>
                <c:pt idx="383">
                  <c:v>32.799999999999997</c:v>
                </c:pt>
                <c:pt idx="384">
                  <c:v>33.1</c:v>
                </c:pt>
                <c:pt idx="385">
                  <c:v>33.4</c:v>
                </c:pt>
                <c:pt idx="386">
                  <c:v>33.700000000000003</c:v>
                </c:pt>
                <c:pt idx="387">
                  <c:v>34</c:v>
                </c:pt>
                <c:pt idx="388">
                  <c:v>34.4</c:v>
                </c:pt>
                <c:pt idx="389">
                  <c:v>34.700000000000003</c:v>
                </c:pt>
                <c:pt idx="390">
                  <c:v>35</c:v>
                </c:pt>
                <c:pt idx="391">
                  <c:v>35.299999999999997</c:v>
                </c:pt>
                <c:pt idx="392">
                  <c:v>35.700000000000003</c:v>
                </c:pt>
                <c:pt idx="393">
                  <c:v>36</c:v>
                </c:pt>
                <c:pt idx="394">
                  <c:v>36.299999999999997</c:v>
                </c:pt>
                <c:pt idx="395">
                  <c:v>36.700000000000003</c:v>
                </c:pt>
                <c:pt idx="396">
                  <c:v>37</c:v>
                </c:pt>
                <c:pt idx="397">
                  <c:v>37.4</c:v>
                </c:pt>
                <c:pt idx="398">
                  <c:v>37.799999999999997</c:v>
                </c:pt>
                <c:pt idx="399">
                  <c:v>38.1</c:v>
                </c:pt>
                <c:pt idx="400">
                  <c:v>38.5</c:v>
                </c:pt>
                <c:pt idx="401">
                  <c:v>38.9</c:v>
                </c:pt>
                <c:pt idx="402">
                  <c:v>39.299999999999997</c:v>
                </c:pt>
                <c:pt idx="403">
                  <c:v>39.700000000000003</c:v>
                </c:pt>
                <c:pt idx="404">
                  <c:v>40.1</c:v>
                </c:pt>
                <c:pt idx="405">
                  <c:v>40.5</c:v>
                </c:pt>
                <c:pt idx="406">
                  <c:v>40.9</c:v>
                </c:pt>
                <c:pt idx="407">
                  <c:v>41.3</c:v>
                </c:pt>
                <c:pt idx="408">
                  <c:v>41.7</c:v>
                </c:pt>
                <c:pt idx="409">
                  <c:v>42.2</c:v>
                </c:pt>
                <c:pt idx="410">
                  <c:v>42.6</c:v>
                </c:pt>
                <c:pt idx="411">
                  <c:v>43.1</c:v>
                </c:pt>
                <c:pt idx="412">
                  <c:v>43.5</c:v>
                </c:pt>
                <c:pt idx="413">
                  <c:v>44</c:v>
                </c:pt>
                <c:pt idx="414">
                  <c:v>44.5</c:v>
                </c:pt>
                <c:pt idx="415">
                  <c:v>44.9</c:v>
                </c:pt>
                <c:pt idx="416">
                  <c:v>45.4</c:v>
                </c:pt>
                <c:pt idx="417">
                  <c:v>45.9</c:v>
                </c:pt>
                <c:pt idx="418">
                  <c:v>46.4</c:v>
                </c:pt>
                <c:pt idx="419">
                  <c:v>47</c:v>
                </c:pt>
                <c:pt idx="420">
                  <c:v>47.5</c:v>
                </c:pt>
                <c:pt idx="421">
                  <c:v>48</c:v>
                </c:pt>
                <c:pt idx="422">
                  <c:v>48.6</c:v>
                </c:pt>
                <c:pt idx="423">
                  <c:v>49.1</c:v>
                </c:pt>
                <c:pt idx="424">
                  <c:v>49.7</c:v>
                </c:pt>
                <c:pt idx="425">
                  <c:v>50.2</c:v>
                </c:pt>
                <c:pt idx="426">
                  <c:v>50.8</c:v>
                </c:pt>
                <c:pt idx="427">
                  <c:v>51.4</c:v>
                </c:pt>
                <c:pt idx="428">
                  <c:v>52</c:v>
                </c:pt>
                <c:pt idx="429">
                  <c:v>52.6</c:v>
                </c:pt>
                <c:pt idx="430">
                  <c:v>53.3</c:v>
                </c:pt>
                <c:pt idx="431">
                  <c:v>53.9</c:v>
                </c:pt>
                <c:pt idx="432">
                  <c:v>54.6</c:v>
                </c:pt>
                <c:pt idx="433">
                  <c:v>55.2</c:v>
                </c:pt>
                <c:pt idx="434">
                  <c:v>55.9</c:v>
                </c:pt>
                <c:pt idx="435">
                  <c:v>56.6</c:v>
                </c:pt>
                <c:pt idx="436">
                  <c:v>57.3</c:v>
                </c:pt>
                <c:pt idx="437">
                  <c:v>58</c:v>
                </c:pt>
                <c:pt idx="438">
                  <c:v>58.7</c:v>
                </c:pt>
                <c:pt idx="439">
                  <c:v>59.5</c:v>
                </c:pt>
                <c:pt idx="440">
                  <c:v>60.2</c:v>
                </c:pt>
                <c:pt idx="441">
                  <c:v>61</c:v>
                </c:pt>
                <c:pt idx="442">
                  <c:v>61.8</c:v>
                </c:pt>
                <c:pt idx="443">
                  <c:v>62.6</c:v>
                </c:pt>
                <c:pt idx="444">
                  <c:v>63.4</c:v>
                </c:pt>
                <c:pt idx="445">
                  <c:v>64.3</c:v>
                </c:pt>
                <c:pt idx="446">
                  <c:v>65.099999999999994</c:v>
                </c:pt>
                <c:pt idx="447">
                  <c:v>66</c:v>
                </c:pt>
                <c:pt idx="448">
                  <c:v>66.900000000000006</c:v>
                </c:pt>
                <c:pt idx="449">
                  <c:v>67.8</c:v>
                </c:pt>
                <c:pt idx="450">
                  <c:v>68.7</c:v>
                </c:pt>
                <c:pt idx="451">
                  <c:v>69.7</c:v>
                </c:pt>
                <c:pt idx="452">
                  <c:v>70.7</c:v>
                </c:pt>
                <c:pt idx="453">
                  <c:v>71.599999999999994</c:v>
                </c:pt>
                <c:pt idx="454">
                  <c:v>72.599999999999994</c:v>
                </c:pt>
                <c:pt idx="455">
                  <c:v>73.7</c:v>
                </c:pt>
                <c:pt idx="456">
                  <c:v>74.7</c:v>
                </c:pt>
                <c:pt idx="457">
                  <c:v>75.8</c:v>
                </c:pt>
                <c:pt idx="458">
                  <c:v>76.900000000000006</c:v>
                </c:pt>
                <c:pt idx="459">
                  <c:v>78</c:v>
                </c:pt>
                <c:pt idx="460">
                  <c:v>79.2</c:v>
                </c:pt>
                <c:pt idx="461">
                  <c:v>80.400000000000006</c:v>
                </c:pt>
                <c:pt idx="462">
                  <c:v>81.599999999999994</c:v>
                </c:pt>
                <c:pt idx="463">
                  <c:v>82.8</c:v>
                </c:pt>
                <c:pt idx="464">
                  <c:v>84</c:v>
                </c:pt>
                <c:pt idx="465">
                  <c:v>85.3</c:v>
                </c:pt>
                <c:pt idx="466">
                  <c:v>86.6</c:v>
                </c:pt>
                <c:pt idx="467">
                  <c:v>88</c:v>
                </c:pt>
                <c:pt idx="468">
                  <c:v>89.4</c:v>
                </c:pt>
                <c:pt idx="469">
                  <c:v>90.8</c:v>
                </c:pt>
                <c:pt idx="470">
                  <c:v>92.2</c:v>
                </c:pt>
                <c:pt idx="471">
                  <c:v>93.7</c:v>
                </c:pt>
                <c:pt idx="472">
                  <c:v>95.2</c:v>
                </c:pt>
                <c:pt idx="473">
                  <c:v>96.7</c:v>
                </c:pt>
                <c:pt idx="474">
                  <c:v>98.3</c:v>
                </c:pt>
                <c:pt idx="475">
                  <c:v>100</c:v>
                </c:pt>
                <c:pt idx="476">
                  <c:v>101.6</c:v>
                </c:pt>
                <c:pt idx="477">
                  <c:v>103.3</c:v>
                </c:pt>
                <c:pt idx="478">
                  <c:v>105.1</c:v>
                </c:pt>
                <c:pt idx="479">
                  <c:v>106.9</c:v>
                </c:pt>
                <c:pt idx="480">
                  <c:v>108.7</c:v>
                </c:pt>
                <c:pt idx="481">
                  <c:v>110.6</c:v>
                </c:pt>
                <c:pt idx="482">
                  <c:v>112.5</c:v>
                </c:pt>
                <c:pt idx="483">
                  <c:v>114.5</c:v>
                </c:pt>
                <c:pt idx="484">
                  <c:v>116.6</c:v>
                </c:pt>
                <c:pt idx="485">
                  <c:v>118.7</c:v>
                </c:pt>
                <c:pt idx="486">
                  <c:v>120.8</c:v>
                </c:pt>
                <c:pt idx="487">
                  <c:v>123</c:v>
                </c:pt>
                <c:pt idx="488">
                  <c:v>125.3</c:v>
                </c:pt>
                <c:pt idx="489">
                  <c:v>127.7</c:v>
                </c:pt>
                <c:pt idx="490">
                  <c:v>130.1</c:v>
                </c:pt>
                <c:pt idx="491">
                  <c:v>132.6</c:v>
                </c:pt>
                <c:pt idx="492">
                  <c:v>135.19999999999999</c:v>
                </c:pt>
                <c:pt idx="493">
                  <c:v>137.80000000000001</c:v>
                </c:pt>
                <c:pt idx="494">
                  <c:v>140.6</c:v>
                </c:pt>
                <c:pt idx="495">
                  <c:v>143.4</c:v>
                </c:pt>
                <c:pt idx="496">
                  <c:v>146.30000000000001</c:v>
                </c:pt>
                <c:pt idx="497">
                  <c:v>149.4</c:v>
                </c:pt>
                <c:pt idx="498">
                  <c:v>152.5</c:v>
                </c:pt>
                <c:pt idx="499">
                  <c:v>155.69999999999999</c:v>
                </c:pt>
                <c:pt idx="500">
                  <c:v>159.1</c:v>
                </c:pt>
                <c:pt idx="501">
                  <c:v>162.5</c:v>
                </c:pt>
                <c:pt idx="502">
                  <c:v>166.1</c:v>
                </c:pt>
                <c:pt idx="503">
                  <c:v>169.8</c:v>
                </c:pt>
                <c:pt idx="504">
                  <c:v>173.7</c:v>
                </c:pt>
                <c:pt idx="505">
                  <c:v>177.9</c:v>
                </c:pt>
                <c:pt idx="506">
                  <c:v>181.8</c:v>
                </c:pt>
                <c:pt idx="507">
                  <c:v>185.9</c:v>
                </c:pt>
                <c:pt idx="508">
                  <c:v>190.2</c:v>
                </c:pt>
                <c:pt idx="509">
                  <c:v>194.8</c:v>
                </c:pt>
                <c:pt idx="510">
                  <c:v>199.7</c:v>
                </c:pt>
                <c:pt idx="511">
                  <c:v>204</c:v>
                </c:pt>
                <c:pt idx="512">
                  <c:v>208.4</c:v>
                </c:pt>
                <c:pt idx="513">
                  <c:v>213.1</c:v>
                </c:pt>
                <c:pt idx="514">
                  <c:v>217.9</c:v>
                </c:pt>
                <c:pt idx="515">
                  <c:v>223</c:v>
                </c:pt>
                <c:pt idx="516">
                  <c:v>227.4</c:v>
                </c:pt>
                <c:pt idx="517">
                  <c:v>231.3</c:v>
                </c:pt>
                <c:pt idx="518">
                  <c:v>235.4</c:v>
                </c:pt>
                <c:pt idx="519">
                  <c:v>239.6</c:v>
                </c:pt>
                <c:pt idx="520">
                  <c:v>243.7</c:v>
                </c:pt>
                <c:pt idx="521">
                  <c:v>247.3</c:v>
                </c:pt>
                <c:pt idx="522">
                  <c:v>249.7</c:v>
                </c:pt>
                <c:pt idx="523">
                  <c:v>252.3</c:v>
                </c:pt>
                <c:pt idx="524">
                  <c:v>254.7</c:v>
                </c:pt>
                <c:pt idx="525">
                  <c:v>257</c:v>
                </c:pt>
                <c:pt idx="526">
                  <c:v>259.10000000000002</c:v>
                </c:pt>
                <c:pt idx="527">
                  <c:v>259.89999999999998</c:v>
                </c:pt>
                <c:pt idx="528">
                  <c:v>260.89999999999998</c:v>
                </c:pt>
                <c:pt idx="529">
                  <c:v>261.89999999999998</c:v>
                </c:pt>
                <c:pt idx="530">
                  <c:v>262.60000000000002</c:v>
                </c:pt>
                <c:pt idx="531">
                  <c:v>263.3</c:v>
                </c:pt>
                <c:pt idx="532">
                  <c:v>263.7</c:v>
                </c:pt>
                <c:pt idx="533">
                  <c:v>264.10000000000002</c:v>
                </c:pt>
                <c:pt idx="534">
                  <c:v>264.5</c:v>
                </c:pt>
                <c:pt idx="535">
                  <c:v>264.8</c:v>
                </c:pt>
                <c:pt idx="536">
                  <c:v>265.10000000000002</c:v>
                </c:pt>
                <c:pt idx="537">
                  <c:v>265.3</c:v>
                </c:pt>
                <c:pt idx="538">
                  <c:v>265.5</c:v>
                </c:pt>
                <c:pt idx="539">
                  <c:v>265.7</c:v>
                </c:pt>
                <c:pt idx="540">
                  <c:v>265.89999999999998</c:v>
                </c:pt>
                <c:pt idx="541">
                  <c:v>266.10000000000002</c:v>
                </c:pt>
                <c:pt idx="542">
                  <c:v>266.2</c:v>
                </c:pt>
                <c:pt idx="543">
                  <c:v>266.3</c:v>
                </c:pt>
                <c:pt idx="544">
                  <c:v>266.5</c:v>
                </c:pt>
                <c:pt idx="545">
                  <c:v>266.60000000000002</c:v>
                </c:pt>
                <c:pt idx="546">
                  <c:v>266.7</c:v>
                </c:pt>
                <c:pt idx="547">
                  <c:v>266.8</c:v>
                </c:pt>
                <c:pt idx="548">
                  <c:v>266.89999999999998</c:v>
                </c:pt>
                <c:pt idx="549">
                  <c:v>266.89999999999998</c:v>
                </c:pt>
                <c:pt idx="550">
                  <c:v>267</c:v>
                </c:pt>
                <c:pt idx="551">
                  <c:v>267.10000000000002</c:v>
                </c:pt>
                <c:pt idx="552">
                  <c:v>267.10000000000002</c:v>
                </c:pt>
                <c:pt idx="553">
                  <c:v>267.2</c:v>
                </c:pt>
                <c:pt idx="554">
                  <c:v>267.2</c:v>
                </c:pt>
                <c:pt idx="555">
                  <c:v>267.3</c:v>
                </c:pt>
                <c:pt idx="556">
                  <c:v>267.3</c:v>
                </c:pt>
                <c:pt idx="557">
                  <c:v>267.39999999999998</c:v>
                </c:pt>
                <c:pt idx="558">
                  <c:v>267.39999999999998</c:v>
                </c:pt>
                <c:pt idx="559">
                  <c:v>267.39999999999998</c:v>
                </c:pt>
                <c:pt idx="560">
                  <c:v>267.5</c:v>
                </c:pt>
                <c:pt idx="561">
                  <c:v>267.5</c:v>
                </c:pt>
                <c:pt idx="562">
                  <c:v>267.5</c:v>
                </c:pt>
                <c:pt idx="563">
                  <c:v>267.5</c:v>
                </c:pt>
                <c:pt idx="564">
                  <c:v>267.5</c:v>
                </c:pt>
                <c:pt idx="565">
                  <c:v>267.60000000000002</c:v>
                </c:pt>
                <c:pt idx="566">
                  <c:v>267.60000000000002</c:v>
                </c:pt>
                <c:pt idx="567">
                  <c:v>267.60000000000002</c:v>
                </c:pt>
                <c:pt idx="568">
                  <c:v>267.60000000000002</c:v>
                </c:pt>
                <c:pt idx="569">
                  <c:v>267.60000000000002</c:v>
                </c:pt>
                <c:pt idx="570">
                  <c:v>267.7</c:v>
                </c:pt>
                <c:pt idx="571">
                  <c:v>267.7</c:v>
                </c:pt>
                <c:pt idx="572">
                  <c:v>267.7</c:v>
                </c:pt>
                <c:pt idx="573">
                  <c:v>267.7</c:v>
                </c:pt>
                <c:pt idx="574">
                  <c:v>267.7</c:v>
                </c:pt>
                <c:pt idx="575">
                  <c:v>267.7</c:v>
                </c:pt>
                <c:pt idx="576">
                  <c:v>267.7</c:v>
                </c:pt>
                <c:pt idx="577">
                  <c:v>267.7</c:v>
                </c:pt>
                <c:pt idx="578">
                  <c:v>267.7</c:v>
                </c:pt>
                <c:pt idx="579">
                  <c:v>267.7</c:v>
                </c:pt>
                <c:pt idx="580">
                  <c:v>267.7</c:v>
                </c:pt>
                <c:pt idx="581">
                  <c:v>267.7</c:v>
                </c:pt>
                <c:pt idx="582">
                  <c:v>267.7</c:v>
                </c:pt>
                <c:pt idx="583">
                  <c:v>267.8</c:v>
                </c:pt>
                <c:pt idx="584">
                  <c:v>267.8</c:v>
                </c:pt>
                <c:pt idx="585">
                  <c:v>267.8</c:v>
                </c:pt>
                <c:pt idx="586">
                  <c:v>267.8</c:v>
                </c:pt>
                <c:pt idx="587">
                  <c:v>267.8</c:v>
                </c:pt>
                <c:pt idx="588">
                  <c:v>267.8</c:v>
                </c:pt>
                <c:pt idx="589">
                  <c:v>267.8</c:v>
                </c:pt>
                <c:pt idx="590">
                  <c:v>267.8</c:v>
                </c:pt>
                <c:pt idx="591">
                  <c:v>267.8</c:v>
                </c:pt>
                <c:pt idx="592">
                  <c:v>267.8</c:v>
                </c:pt>
                <c:pt idx="593">
                  <c:v>267.8</c:v>
                </c:pt>
                <c:pt idx="594">
                  <c:v>267.8</c:v>
                </c:pt>
                <c:pt idx="595">
                  <c:v>267.8</c:v>
                </c:pt>
                <c:pt idx="596">
                  <c:v>267.8</c:v>
                </c:pt>
                <c:pt idx="597">
                  <c:v>267.8</c:v>
                </c:pt>
                <c:pt idx="598">
                  <c:v>267.8</c:v>
                </c:pt>
                <c:pt idx="599">
                  <c:v>267.8</c:v>
                </c:pt>
                <c:pt idx="600">
                  <c:v>267.8</c:v>
                </c:pt>
                <c:pt idx="601">
                  <c:v>267.8</c:v>
                </c:pt>
                <c:pt idx="602">
                  <c:v>267.8</c:v>
                </c:pt>
                <c:pt idx="603">
                  <c:v>267.8</c:v>
                </c:pt>
                <c:pt idx="604">
                  <c:v>267.8</c:v>
                </c:pt>
                <c:pt idx="605">
                  <c:v>267.8</c:v>
                </c:pt>
                <c:pt idx="606">
                  <c:v>267.8</c:v>
                </c:pt>
                <c:pt idx="607">
                  <c:v>267.8</c:v>
                </c:pt>
                <c:pt idx="608">
                  <c:v>267.7</c:v>
                </c:pt>
                <c:pt idx="609">
                  <c:v>267.7</c:v>
                </c:pt>
                <c:pt idx="610">
                  <c:v>267.7</c:v>
                </c:pt>
                <c:pt idx="611">
                  <c:v>267.7</c:v>
                </c:pt>
                <c:pt idx="612">
                  <c:v>267.7</c:v>
                </c:pt>
                <c:pt idx="613">
                  <c:v>267.7</c:v>
                </c:pt>
                <c:pt idx="614">
                  <c:v>267.7</c:v>
                </c:pt>
                <c:pt idx="615">
                  <c:v>267.60000000000002</c:v>
                </c:pt>
                <c:pt idx="616">
                  <c:v>267.60000000000002</c:v>
                </c:pt>
                <c:pt idx="617">
                  <c:v>267.60000000000002</c:v>
                </c:pt>
                <c:pt idx="618">
                  <c:v>267.60000000000002</c:v>
                </c:pt>
                <c:pt idx="619">
                  <c:v>267.5</c:v>
                </c:pt>
                <c:pt idx="620">
                  <c:v>267.5</c:v>
                </c:pt>
                <c:pt idx="621">
                  <c:v>267.39999999999998</c:v>
                </c:pt>
                <c:pt idx="622">
                  <c:v>267.39999999999998</c:v>
                </c:pt>
                <c:pt idx="623">
                  <c:v>267.39999999999998</c:v>
                </c:pt>
                <c:pt idx="624">
                  <c:v>267.3</c:v>
                </c:pt>
                <c:pt idx="625">
                  <c:v>267.2</c:v>
                </c:pt>
                <c:pt idx="626">
                  <c:v>267.2</c:v>
                </c:pt>
                <c:pt idx="627">
                  <c:v>267.10000000000002</c:v>
                </c:pt>
                <c:pt idx="628">
                  <c:v>267</c:v>
                </c:pt>
                <c:pt idx="629">
                  <c:v>267</c:v>
                </c:pt>
                <c:pt idx="630">
                  <c:v>266.89999999999998</c:v>
                </c:pt>
                <c:pt idx="631">
                  <c:v>266.8</c:v>
                </c:pt>
                <c:pt idx="632">
                  <c:v>266.7</c:v>
                </c:pt>
                <c:pt idx="633">
                  <c:v>266.60000000000002</c:v>
                </c:pt>
                <c:pt idx="634">
                  <c:v>266.39999999999998</c:v>
                </c:pt>
                <c:pt idx="635">
                  <c:v>266.3</c:v>
                </c:pt>
                <c:pt idx="636">
                  <c:v>266.2</c:v>
                </c:pt>
                <c:pt idx="637">
                  <c:v>266</c:v>
                </c:pt>
                <c:pt idx="638">
                  <c:v>265.8</c:v>
                </c:pt>
                <c:pt idx="639">
                  <c:v>265.7</c:v>
                </c:pt>
                <c:pt idx="640">
                  <c:v>265.5</c:v>
                </c:pt>
                <c:pt idx="641">
                  <c:v>265.2</c:v>
                </c:pt>
                <c:pt idx="642">
                  <c:v>265</c:v>
                </c:pt>
                <c:pt idx="643">
                  <c:v>264.7</c:v>
                </c:pt>
                <c:pt idx="644">
                  <c:v>264.3</c:v>
                </c:pt>
                <c:pt idx="645">
                  <c:v>264</c:v>
                </c:pt>
                <c:pt idx="646">
                  <c:v>263.5</c:v>
                </c:pt>
                <c:pt idx="647">
                  <c:v>263</c:v>
                </c:pt>
                <c:pt idx="648">
                  <c:v>262.39999999999998</c:v>
                </c:pt>
                <c:pt idx="649">
                  <c:v>261.60000000000002</c:v>
                </c:pt>
                <c:pt idx="650">
                  <c:v>260.5</c:v>
                </c:pt>
                <c:pt idx="651">
                  <c:v>259.3</c:v>
                </c:pt>
                <c:pt idx="652">
                  <c:v>258</c:v>
                </c:pt>
                <c:pt idx="653">
                  <c:v>257</c:v>
                </c:pt>
                <c:pt idx="654">
                  <c:v>254.6</c:v>
                </c:pt>
                <c:pt idx="655">
                  <c:v>252.1</c:v>
                </c:pt>
                <c:pt idx="656">
                  <c:v>249.6</c:v>
                </c:pt>
                <c:pt idx="657">
                  <c:v>247</c:v>
                </c:pt>
                <c:pt idx="658">
                  <c:v>244.4</c:v>
                </c:pt>
                <c:pt idx="659">
                  <c:v>241.1</c:v>
                </c:pt>
                <c:pt idx="660">
                  <c:v>237.5</c:v>
                </c:pt>
                <c:pt idx="661">
                  <c:v>233.8</c:v>
                </c:pt>
                <c:pt idx="662">
                  <c:v>230.2</c:v>
                </c:pt>
                <c:pt idx="663">
                  <c:v>226.7</c:v>
                </c:pt>
                <c:pt idx="664">
                  <c:v>223.1</c:v>
                </c:pt>
                <c:pt idx="665">
                  <c:v>219</c:v>
                </c:pt>
                <c:pt idx="666">
                  <c:v>215</c:v>
                </c:pt>
                <c:pt idx="667">
                  <c:v>211.2</c:v>
                </c:pt>
                <c:pt idx="668">
                  <c:v>207.6</c:v>
                </c:pt>
                <c:pt idx="669">
                  <c:v>204.2</c:v>
                </c:pt>
                <c:pt idx="670">
                  <c:v>200.3</c:v>
                </c:pt>
                <c:pt idx="671">
                  <c:v>196.6</c:v>
                </c:pt>
                <c:pt idx="672">
                  <c:v>193.1</c:v>
                </c:pt>
                <c:pt idx="673">
                  <c:v>189.7</c:v>
                </c:pt>
                <c:pt idx="674">
                  <c:v>186.5</c:v>
                </c:pt>
                <c:pt idx="675">
                  <c:v>183.2</c:v>
                </c:pt>
                <c:pt idx="676">
                  <c:v>180.1</c:v>
                </c:pt>
                <c:pt idx="677">
                  <c:v>177</c:v>
                </c:pt>
                <c:pt idx="678">
                  <c:v>174</c:v>
                </c:pt>
                <c:pt idx="679">
                  <c:v>171.1</c:v>
                </c:pt>
                <c:pt idx="680">
                  <c:v>168.3</c:v>
                </c:pt>
                <c:pt idx="681">
                  <c:v>165.6</c:v>
                </c:pt>
                <c:pt idx="682">
                  <c:v>162.9</c:v>
                </c:pt>
                <c:pt idx="683">
                  <c:v>160.30000000000001</c:v>
                </c:pt>
                <c:pt idx="684">
                  <c:v>157.80000000000001</c:v>
                </c:pt>
                <c:pt idx="685">
                  <c:v>155.30000000000001</c:v>
                </c:pt>
                <c:pt idx="686">
                  <c:v>152.9</c:v>
                </c:pt>
                <c:pt idx="687">
                  <c:v>150.6</c:v>
                </c:pt>
                <c:pt idx="688">
                  <c:v>148.4</c:v>
                </c:pt>
                <c:pt idx="689">
                  <c:v>146.1</c:v>
                </c:pt>
                <c:pt idx="690">
                  <c:v>144</c:v>
                </c:pt>
                <c:pt idx="691">
                  <c:v>141.9</c:v>
                </c:pt>
                <c:pt idx="692">
                  <c:v>139.9</c:v>
                </c:pt>
                <c:pt idx="693">
                  <c:v>137.9</c:v>
                </c:pt>
                <c:pt idx="694">
                  <c:v>135.9</c:v>
                </c:pt>
                <c:pt idx="695">
                  <c:v>134</c:v>
                </c:pt>
                <c:pt idx="696">
                  <c:v>132.1</c:v>
                </c:pt>
                <c:pt idx="697">
                  <c:v>130.30000000000001</c:v>
                </c:pt>
                <c:pt idx="698">
                  <c:v>128.5</c:v>
                </c:pt>
                <c:pt idx="699">
                  <c:v>126.8</c:v>
                </c:pt>
                <c:pt idx="700">
                  <c:v>125.1</c:v>
                </c:pt>
                <c:pt idx="701">
                  <c:v>123.4</c:v>
                </c:pt>
                <c:pt idx="702">
                  <c:v>121.8</c:v>
                </c:pt>
                <c:pt idx="703">
                  <c:v>120.2</c:v>
                </c:pt>
                <c:pt idx="704">
                  <c:v>118.6</c:v>
                </c:pt>
                <c:pt idx="705">
                  <c:v>117.1</c:v>
                </c:pt>
                <c:pt idx="706">
                  <c:v>115.6</c:v>
                </c:pt>
                <c:pt idx="707">
                  <c:v>114.1</c:v>
                </c:pt>
                <c:pt idx="708">
                  <c:v>112.7</c:v>
                </c:pt>
                <c:pt idx="709">
                  <c:v>111.3</c:v>
                </c:pt>
                <c:pt idx="710">
                  <c:v>109.9</c:v>
                </c:pt>
                <c:pt idx="711">
                  <c:v>108.5</c:v>
                </c:pt>
                <c:pt idx="712">
                  <c:v>107.2</c:v>
                </c:pt>
                <c:pt idx="713">
                  <c:v>105.9</c:v>
                </c:pt>
                <c:pt idx="714">
                  <c:v>104.7</c:v>
                </c:pt>
                <c:pt idx="715">
                  <c:v>103.4</c:v>
                </c:pt>
                <c:pt idx="716">
                  <c:v>102.2</c:v>
                </c:pt>
                <c:pt idx="717">
                  <c:v>101</c:v>
                </c:pt>
                <c:pt idx="718">
                  <c:v>99.8</c:v>
                </c:pt>
                <c:pt idx="719">
                  <c:v>98.7</c:v>
                </c:pt>
                <c:pt idx="720">
                  <c:v>97.6</c:v>
                </c:pt>
                <c:pt idx="721">
                  <c:v>96.5</c:v>
                </c:pt>
                <c:pt idx="722">
                  <c:v>95.4</c:v>
                </c:pt>
                <c:pt idx="723">
                  <c:v>94.3</c:v>
                </c:pt>
                <c:pt idx="724">
                  <c:v>93.3</c:v>
                </c:pt>
                <c:pt idx="725">
                  <c:v>92.3</c:v>
                </c:pt>
                <c:pt idx="726">
                  <c:v>91.3</c:v>
                </c:pt>
                <c:pt idx="727">
                  <c:v>90.3</c:v>
                </c:pt>
                <c:pt idx="728">
                  <c:v>89.4</c:v>
                </c:pt>
                <c:pt idx="729">
                  <c:v>88.4</c:v>
                </c:pt>
                <c:pt idx="730">
                  <c:v>87.5</c:v>
                </c:pt>
                <c:pt idx="731">
                  <c:v>86.6</c:v>
                </c:pt>
                <c:pt idx="732">
                  <c:v>85.7</c:v>
                </c:pt>
                <c:pt idx="733">
                  <c:v>84.8</c:v>
                </c:pt>
                <c:pt idx="734">
                  <c:v>84</c:v>
                </c:pt>
                <c:pt idx="735">
                  <c:v>83.1</c:v>
                </c:pt>
                <c:pt idx="736">
                  <c:v>82.3</c:v>
                </c:pt>
                <c:pt idx="737">
                  <c:v>81.5</c:v>
                </c:pt>
                <c:pt idx="738">
                  <c:v>80.7</c:v>
                </c:pt>
                <c:pt idx="739">
                  <c:v>79.900000000000006</c:v>
                </c:pt>
                <c:pt idx="740">
                  <c:v>79.2</c:v>
                </c:pt>
                <c:pt idx="741">
                  <c:v>78.400000000000006</c:v>
                </c:pt>
                <c:pt idx="742">
                  <c:v>77.7</c:v>
                </c:pt>
                <c:pt idx="743">
                  <c:v>76.900000000000006</c:v>
                </c:pt>
                <c:pt idx="744">
                  <c:v>76.2</c:v>
                </c:pt>
                <c:pt idx="745">
                  <c:v>75.5</c:v>
                </c:pt>
                <c:pt idx="746">
                  <c:v>74.8</c:v>
                </c:pt>
                <c:pt idx="747">
                  <c:v>74.2</c:v>
                </c:pt>
                <c:pt idx="748">
                  <c:v>73.5</c:v>
                </c:pt>
                <c:pt idx="749">
                  <c:v>72.900000000000006</c:v>
                </c:pt>
                <c:pt idx="750">
                  <c:v>72.2</c:v>
                </c:pt>
                <c:pt idx="751">
                  <c:v>71.599999999999994</c:v>
                </c:pt>
                <c:pt idx="752">
                  <c:v>71</c:v>
                </c:pt>
                <c:pt idx="753">
                  <c:v>70.400000000000006</c:v>
                </c:pt>
                <c:pt idx="754">
                  <c:v>69.8</c:v>
                </c:pt>
                <c:pt idx="755">
                  <c:v>69.2</c:v>
                </c:pt>
                <c:pt idx="756">
                  <c:v>68.599999999999994</c:v>
                </c:pt>
                <c:pt idx="757">
                  <c:v>68</c:v>
                </c:pt>
                <c:pt idx="758">
                  <c:v>67.5</c:v>
                </c:pt>
                <c:pt idx="759">
                  <c:v>66.900000000000006</c:v>
                </c:pt>
                <c:pt idx="760">
                  <c:v>66.400000000000006</c:v>
                </c:pt>
                <c:pt idx="761">
                  <c:v>65.8</c:v>
                </c:pt>
                <c:pt idx="762">
                  <c:v>65.3</c:v>
                </c:pt>
                <c:pt idx="763">
                  <c:v>64.8</c:v>
                </c:pt>
                <c:pt idx="764">
                  <c:v>64.3</c:v>
                </c:pt>
                <c:pt idx="765">
                  <c:v>63.8</c:v>
                </c:pt>
                <c:pt idx="766">
                  <c:v>63.3</c:v>
                </c:pt>
                <c:pt idx="767">
                  <c:v>62.8</c:v>
                </c:pt>
                <c:pt idx="768">
                  <c:v>62.3</c:v>
                </c:pt>
                <c:pt idx="769">
                  <c:v>61.9</c:v>
                </c:pt>
                <c:pt idx="770">
                  <c:v>61.4</c:v>
                </c:pt>
                <c:pt idx="771">
                  <c:v>61</c:v>
                </c:pt>
                <c:pt idx="772">
                  <c:v>60.5</c:v>
                </c:pt>
                <c:pt idx="773">
                  <c:v>60.1</c:v>
                </c:pt>
                <c:pt idx="774">
                  <c:v>59.6</c:v>
                </c:pt>
                <c:pt idx="775">
                  <c:v>59.2</c:v>
                </c:pt>
                <c:pt idx="776">
                  <c:v>58.8</c:v>
                </c:pt>
                <c:pt idx="777">
                  <c:v>58.4</c:v>
                </c:pt>
                <c:pt idx="778">
                  <c:v>58</c:v>
                </c:pt>
                <c:pt idx="779">
                  <c:v>57.6</c:v>
                </c:pt>
                <c:pt idx="780">
                  <c:v>57.2</c:v>
                </c:pt>
                <c:pt idx="781">
                  <c:v>56.8</c:v>
                </c:pt>
                <c:pt idx="782">
                  <c:v>56.4</c:v>
                </c:pt>
                <c:pt idx="783">
                  <c:v>56</c:v>
                </c:pt>
                <c:pt idx="784">
                  <c:v>55.7</c:v>
                </c:pt>
                <c:pt idx="785">
                  <c:v>55.3</c:v>
                </c:pt>
                <c:pt idx="786">
                  <c:v>55</c:v>
                </c:pt>
                <c:pt idx="787">
                  <c:v>54.6</c:v>
                </c:pt>
                <c:pt idx="788">
                  <c:v>54.3</c:v>
                </c:pt>
                <c:pt idx="789">
                  <c:v>53.9</c:v>
                </c:pt>
                <c:pt idx="790">
                  <c:v>53.6</c:v>
                </c:pt>
                <c:pt idx="791">
                  <c:v>53.2</c:v>
                </c:pt>
                <c:pt idx="792">
                  <c:v>52.9</c:v>
                </c:pt>
                <c:pt idx="793">
                  <c:v>52.6</c:v>
                </c:pt>
                <c:pt idx="794">
                  <c:v>52.3</c:v>
                </c:pt>
                <c:pt idx="795">
                  <c:v>52</c:v>
                </c:pt>
                <c:pt idx="796">
                  <c:v>51.7</c:v>
                </c:pt>
                <c:pt idx="797">
                  <c:v>51.3</c:v>
                </c:pt>
                <c:pt idx="798">
                  <c:v>51</c:v>
                </c:pt>
                <c:pt idx="799">
                  <c:v>50.8</c:v>
                </c:pt>
                <c:pt idx="800">
                  <c:v>50.5</c:v>
                </c:pt>
                <c:pt idx="801">
                  <c:v>50.2</c:v>
                </c:pt>
                <c:pt idx="802">
                  <c:v>49.9</c:v>
                </c:pt>
                <c:pt idx="803">
                  <c:v>49.6</c:v>
                </c:pt>
                <c:pt idx="804">
                  <c:v>49.3</c:v>
                </c:pt>
                <c:pt idx="805">
                  <c:v>49.1</c:v>
                </c:pt>
                <c:pt idx="806">
                  <c:v>48.8</c:v>
                </c:pt>
                <c:pt idx="807">
                  <c:v>48.5</c:v>
                </c:pt>
                <c:pt idx="808">
                  <c:v>48.3</c:v>
                </c:pt>
                <c:pt idx="809">
                  <c:v>48</c:v>
                </c:pt>
                <c:pt idx="810">
                  <c:v>47.8</c:v>
                </c:pt>
                <c:pt idx="811">
                  <c:v>47.5</c:v>
                </c:pt>
                <c:pt idx="812">
                  <c:v>47.3</c:v>
                </c:pt>
                <c:pt idx="813">
                  <c:v>47</c:v>
                </c:pt>
                <c:pt idx="814">
                  <c:v>46.8</c:v>
                </c:pt>
                <c:pt idx="815">
                  <c:v>46.6</c:v>
                </c:pt>
                <c:pt idx="816">
                  <c:v>46.3</c:v>
                </c:pt>
                <c:pt idx="817">
                  <c:v>46.1</c:v>
                </c:pt>
                <c:pt idx="818">
                  <c:v>45.9</c:v>
                </c:pt>
                <c:pt idx="819">
                  <c:v>45.7</c:v>
                </c:pt>
                <c:pt idx="820">
                  <c:v>45.4</c:v>
                </c:pt>
                <c:pt idx="821">
                  <c:v>45.2</c:v>
                </c:pt>
                <c:pt idx="822">
                  <c:v>45</c:v>
                </c:pt>
                <c:pt idx="823">
                  <c:v>44.8</c:v>
                </c:pt>
                <c:pt idx="824">
                  <c:v>44.6</c:v>
                </c:pt>
                <c:pt idx="825">
                  <c:v>44.4</c:v>
                </c:pt>
                <c:pt idx="826">
                  <c:v>44.2</c:v>
                </c:pt>
                <c:pt idx="827">
                  <c:v>44</c:v>
                </c:pt>
                <c:pt idx="828">
                  <c:v>43.8</c:v>
                </c:pt>
                <c:pt idx="829">
                  <c:v>43.6</c:v>
                </c:pt>
                <c:pt idx="830">
                  <c:v>43.4</c:v>
                </c:pt>
                <c:pt idx="831">
                  <c:v>43.2</c:v>
                </c:pt>
                <c:pt idx="832">
                  <c:v>43</c:v>
                </c:pt>
                <c:pt idx="833">
                  <c:v>42.9</c:v>
                </c:pt>
                <c:pt idx="834">
                  <c:v>42.7</c:v>
                </c:pt>
                <c:pt idx="835">
                  <c:v>42.5</c:v>
                </c:pt>
                <c:pt idx="836">
                  <c:v>42.3</c:v>
                </c:pt>
                <c:pt idx="837">
                  <c:v>42.2</c:v>
                </c:pt>
                <c:pt idx="838">
                  <c:v>42</c:v>
                </c:pt>
                <c:pt idx="839">
                  <c:v>41.8</c:v>
                </c:pt>
                <c:pt idx="840">
                  <c:v>41.7</c:v>
                </c:pt>
                <c:pt idx="841">
                  <c:v>41.5</c:v>
                </c:pt>
                <c:pt idx="842">
                  <c:v>41.3</c:v>
                </c:pt>
                <c:pt idx="843">
                  <c:v>41.2</c:v>
                </c:pt>
                <c:pt idx="844">
                  <c:v>41</c:v>
                </c:pt>
                <c:pt idx="845">
                  <c:v>40.9</c:v>
                </c:pt>
                <c:pt idx="846">
                  <c:v>40.700000000000003</c:v>
                </c:pt>
                <c:pt idx="847">
                  <c:v>40.6</c:v>
                </c:pt>
                <c:pt idx="848">
                  <c:v>40.4</c:v>
                </c:pt>
                <c:pt idx="849">
                  <c:v>40.299999999999997</c:v>
                </c:pt>
                <c:pt idx="850">
                  <c:v>40.1</c:v>
                </c:pt>
                <c:pt idx="851">
                  <c:v>40</c:v>
                </c:pt>
                <c:pt idx="852">
                  <c:v>39.799999999999997</c:v>
                </c:pt>
                <c:pt idx="853">
                  <c:v>39.700000000000003</c:v>
                </c:pt>
                <c:pt idx="854">
                  <c:v>39.6</c:v>
                </c:pt>
                <c:pt idx="855">
                  <c:v>39.4</c:v>
                </c:pt>
                <c:pt idx="856">
                  <c:v>39.299999999999997</c:v>
                </c:pt>
                <c:pt idx="857">
                  <c:v>39.200000000000003</c:v>
                </c:pt>
                <c:pt idx="858">
                  <c:v>39</c:v>
                </c:pt>
                <c:pt idx="859">
                  <c:v>38.9</c:v>
                </c:pt>
                <c:pt idx="860">
                  <c:v>38.799999999999997</c:v>
                </c:pt>
                <c:pt idx="861">
                  <c:v>38.700000000000003</c:v>
                </c:pt>
                <c:pt idx="862">
                  <c:v>38.6</c:v>
                </c:pt>
                <c:pt idx="863">
                  <c:v>38.4</c:v>
                </c:pt>
                <c:pt idx="864">
                  <c:v>38.299999999999997</c:v>
                </c:pt>
                <c:pt idx="865">
                  <c:v>38.200000000000003</c:v>
                </c:pt>
                <c:pt idx="866">
                  <c:v>38.1</c:v>
                </c:pt>
                <c:pt idx="867">
                  <c:v>38</c:v>
                </c:pt>
                <c:pt idx="868">
                  <c:v>37.9</c:v>
                </c:pt>
                <c:pt idx="869">
                  <c:v>37.799999999999997</c:v>
                </c:pt>
                <c:pt idx="870">
                  <c:v>37.700000000000003</c:v>
                </c:pt>
                <c:pt idx="871">
                  <c:v>37.5</c:v>
                </c:pt>
                <c:pt idx="872">
                  <c:v>37.4</c:v>
                </c:pt>
                <c:pt idx="873">
                  <c:v>37.299999999999997</c:v>
                </c:pt>
                <c:pt idx="874">
                  <c:v>37.200000000000003</c:v>
                </c:pt>
                <c:pt idx="875">
                  <c:v>37.1</c:v>
                </c:pt>
                <c:pt idx="876">
                  <c:v>37</c:v>
                </c:pt>
                <c:pt idx="877">
                  <c:v>36.9</c:v>
                </c:pt>
                <c:pt idx="878">
                  <c:v>36.799999999999997</c:v>
                </c:pt>
                <c:pt idx="879">
                  <c:v>36.799999999999997</c:v>
                </c:pt>
                <c:pt idx="880">
                  <c:v>36.700000000000003</c:v>
                </c:pt>
                <c:pt idx="881">
                  <c:v>36.6</c:v>
                </c:pt>
                <c:pt idx="882">
                  <c:v>36.5</c:v>
                </c:pt>
                <c:pt idx="883">
                  <c:v>36.4</c:v>
                </c:pt>
                <c:pt idx="884">
                  <c:v>36.299999999999997</c:v>
                </c:pt>
                <c:pt idx="885">
                  <c:v>36.200000000000003</c:v>
                </c:pt>
                <c:pt idx="886">
                  <c:v>36.1</c:v>
                </c:pt>
                <c:pt idx="887">
                  <c:v>36.1</c:v>
                </c:pt>
                <c:pt idx="888">
                  <c:v>36</c:v>
                </c:pt>
                <c:pt idx="889">
                  <c:v>35.9</c:v>
                </c:pt>
                <c:pt idx="890">
                  <c:v>35.799999999999997</c:v>
                </c:pt>
                <c:pt idx="891">
                  <c:v>35.700000000000003</c:v>
                </c:pt>
                <c:pt idx="892">
                  <c:v>35.700000000000003</c:v>
                </c:pt>
                <c:pt idx="893">
                  <c:v>35.6</c:v>
                </c:pt>
                <c:pt idx="894">
                  <c:v>35.5</c:v>
                </c:pt>
                <c:pt idx="895">
                  <c:v>35.5</c:v>
                </c:pt>
                <c:pt idx="896">
                  <c:v>35.4</c:v>
                </c:pt>
                <c:pt idx="897">
                  <c:v>35.299999999999997</c:v>
                </c:pt>
                <c:pt idx="898">
                  <c:v>35.299999999999997</c:v>
                </c:pt>
                <c:pt idx="899">
                  <c:v>35.200000000000003</c:v>
                </c:pt>
                <c:pt idx="900">
                  <c:v>35.1</c:v>
                </c:pt>
                <c:pt idx="901">
                  <c:v>35.1</c:v>
                </c:pt>
                <c:pt idx="902">
                  <c:v>35</c:v>
                </c:pt>
                <c:pt idx="903">
                  <c:v>34.9</c:v>
                </c:pt>
                <c:pt idx="904">
                  <c:v>34.9</c:v>
                </c:pt>
                <c:pt idx="905">
                  <c:v>34.799999999999997</c:v>
                </c:pt>
                <c:pt idx="906">
                  <c:v>34.799999999999997</c:v>
                </c:pt>
                <c:pt idx="907">
                  <c:v>34.700000000000003</c:v>
                </c:pt>
                <c:pt idx="908">
                  <c:v>34.6</c:v>
                </c:pt>
                <c:pt idx="909">
                  <c:v>34.6</c:v>
                </c:pt>
                <c:pt idx="910">
                  <c:v>34.5</c:v>
                </c:pt>
                <c:pt idx="911">
                  <c:v>34.5</c:v>
                </c:pt>
                <c:pt idx="912">
                  <c:v>34.4</c:v>
                </c:pt>
                <c:pt idx="913">
                  <c:v>34.4</c:v>
                </c:pt>
                <c:pt idx="914">
                  <c:v>34.299999999999997</c:v>
                </c:pt>
                <c:pt idx="915">
                  <c:v>34.299999999999997</c:v>
                </c:pt>
                <c:pt idx="916">
                  <c:v>34.299999999999997</c:v>
                </c:pt>
                <c:pt idx="917">
                  <c:v>34.200000000000003</c:v>
                </c:pt>
                <c:pt idx="918">
                  <c:v>34.200000000000003</c:v>
                </c:pt>
                <c:pt idx="919">
                  <c:v>34.1</c:v>
                </c:pt>
                <c:pt idx="920">
                  <c:v>34.1</c:v>
                </c:pt>
                <c:pt idx="921">
                  <c:v>34</c:v>
                </c:pt>
                <c:pt idx="922">
                  <c:v>34</c:v>
                </c:pt>
                <c:pt idx="923">
                  <c:v>34</c:v>
                </c:pt>
                <c:pt idx="924">
                  <c:v>33.9</c:v>
                </c:pt>
                <c:pt idx="925">
                  <c:v>33.9</c:v>
                </c:pt>
                <c:pt idx="926">
                  <c:v>33.9</c:v>
                </c:pt>
                <c:pt idx="927">
                  <c:v>33.799999999999997</c:v>
                </c:pt>
                <c:pt idx="928">
                  <c:v>33.799999999999997</c:v>
                </c:pt>
                <c:pt idx="929">
                  <c:v>33.799999999999997</c:v>
                </c:pt>
                <c:pt idx="930">
                  <c:v>33.700000000000003</c:v>
                </c:pt>
                <c:pt idx="931">
                  <c:v>33.700000000000003</c:v>
                </c:pt>
                <c:pt idx="932">
                  <c:v>33.700000000000003</c:v>
                </c:pt>
                <c:pt idx="933">
                  <c:v>33.700000000000003</c:v>
                </c:pt>
                <c:pt idx="934">
                  <c:v>33.6</c:v>
                </c:pt>
                <c:pt idx="935">
                  <c:v>33.6</c:v>
                </c:pt>
                <c:pt idx="936">
                  <c:v>33.6</c:v>
                </c:pt>
                <c:pt idx="937">
                  <c:v>33.6</c:v>
                </c:pt>
                <c:pt idx="938">
                  <c:v>33.5</c:v>
                </c:pt>
                <c:pt idx="939">
                  <c:v>33.5</c:v>
                </c:pt>
                <c:pt idx="940">
                  <c:v>33.5</c:v>
                </c:pt>
                <c:pt idx="941">
                  <c:v>33.5</c:v>
                </c:pt>
                <c:pt idx="942">
                  <c:v>33.5</c:v>
                </c:pt>
                <c:pt idx="943">
                  <c:v>33.5</c:v>
                </c:pt>
                <c:pt idx="944">
                  <c:v>33.4</c:v>
                </c:pt>
                <c:pt idx="945">
                  <c:v>33.4</c:v>
                </c:pt>
                <c:pt idx="946">
                  <c:v>33.4</c:v>
                </c:pt>
                <c:pt idx="947">
                  <c:v>33.4</c:v>
                </c:pt>
                <c:pt idx="948">
                  <c:v>33.4</c:v>
                </c:pt>
                <c:pt idx="949">
                  <c:v>33.4</c:v>
                </c:pt>
                <c:pt idx="950">
                  <c:v>33.4</c:v>
                </c:pt>
                <c:pt idx="951">
                  <c:v>33.4</c:v>
                </c:pt>
                <c:pt idx="952">
                  <c:v>33.4</c:v>
                </c:pt>
                <c:pt idx="953">
                  <c:v>33.4</c:v>
                </c:pt>
                <c:pt idx="954">
                  <c:v>33.4</c:v>
                </c:pt>
                <c:pt idx="955">
                  <c:v>33.4</c:v>
                </c:pt>
                <c:pt idx="956">
                  <c:v>33.4</c:v>
                </c:pt>
                <c:pt idx="957">
                  <c:v>33.4</c:v>
                </c:pt>
                <c:pt idx="958">
                  <c:v>33.4</c:v>
                </c:pt>
                <c:pt idx="959">
                  <c:v>33.4</c:v>
                </c:pt>
                <c:pt idx="960">
                  <c:v>33.4</c:v>
                </c:pt>
                <c:pt idx="961">
                  <c:v>33.4</c:v>
                </c:pt>
                <c:pt idx="962">
                  <c:v>33.4</c:v>
                </c:pt>
                <c:pt idx="963">
                  <c:v>33.4</c:v>
                </c:pt>
                <c:pt idx="964">
                  <c:v>33.4</c:v>
                </c:pt>
                <c:pt idx="965">
                  <c:v>33.4</c:v>
                </c:pt>
                <c:pt idx="966">
                  <c:v>33.4</c:v>
                </c:pt>
                <c:pt idx="967">
                  <c:v>33.5</c:v>
                </c:pt>
                <c:pt idx="968">
                  <c:v>33.5</c:v>
                </c:pt>
                <c:pt idx="969">
                  <c:v>33.5</c:v>
                </c:pt>
                <c:pt idx="970">
                  <c:v>33.5</c:v>
                </c:pt>
                <c:pt idx="971">
                  <c:v>33.5</c:v>
                </c:pt>
                <c:pt idx="972">
                  <c:v>33.6</c:v>
                </c:pt>
                <c:pt idx="973">
                  <c:v>33.6</c:v>
                </c:pt>
                <c:pt idx="974">
                  <c:v>33.6</c:v>
                </c:pt>
                <c:pt idx="975">
                  <c:v>33.6</c:v>
                </c:pt>
                <c:pt idx="976">
                  <c:v>33.700000000000003</c:v>
                </c:pt>
                <c:pt idx="977">
                  <c:v>33.700000000000003</c:v>
                </c:pt>
                <c:pt idx="978">
                  <c:v>33.700000000000003</c:v>
                </c:pt>
                <c:pt idx="979">
                  <c:v>33.700000000000003</c:v>
                </c:pt>
                <c:pt idx="980">
                  <c:v>33.799999999999997</c:v>
                </c:pt>
                <c:pt idx="981">
                  <c:v>33.799999999999997</c:v>
                </c:pt>
                <c:pt idx="982">
                  <c:v>33.799999999999997</c:v>
                </c:pt>
                <c:pt idx="983">
                  <c:v>33.9</c:v>
                </c:pt>
                <c:pt idx="984">
                  <c:v>33.9</c:v>
                </c:pt>
                <c:pt idx="985">
                  <c:v>34</c:v>
                </c:pt>
                <c:pt idx="986">
                  <c:v>34</c:v>
                </c:pt>
                <c:pt idx="987">
                  <c:v>34</c:v>
                </c:pt>
                <c:pt idx="988">
                  <c:v>34.1</c:v>
                </c:pt>
                <c:pt idx="989">
                  <c:v>34.1</c:v>
                </c:pt>
                <c:pt idx="990">
                  <c:v>34.200000000000003</c:v>
                </c:pt>
                <c:pt idx="991">
                  <c:v>34.200000000000003</c:v>
                </c:pt>
                <c:pt idx="992">
                  <c:v>34.299999999999997</c:v>
                </c:pt>
                <c:pt idx="993">
                  <c:v>34.299999999999997</c:v>
                </c:pt>
                <c:pt idx="994">
                  <c:v>34.4</c:v>
                </c:pt>
                <c:pt idx="995">
                  <c:v>34.4</c:v>
                </c:pt>
                <c:pt idx="996">
                  <c:v>34.5</c:v>
                </c:pt>
                <c:pt idx="997">
                  <c:v>34.6</c:v>
                </c:pt>
                <c:pt idx="998">
                  <c:v>34.6</c:v>
                </c:pt>
                <c:pt idx="999">
                  <c:v>34.700000000000003</c:v>
                </c:pt>
                <c:pt idx="1000">
                  <c:v>34.700000000000003</c:v>
                </c:pt>
                <c:pt idx="1001">
                  <c:v>34.799999999999997</c:v>
                </c:pt>
                <c:pt idx="1002">
                  <c:v>34.9</c:v>
                </c:pt>
                <c:pt idx="1003">
                  <c:v>35</c:v>
                </c:pt>
                <c:pt idx="1004">
                  <c:v>35</c:v>
                </c:pt>
                <c:pt idx="1005">
                  <c:v>35.1</c:v>
                </c:pt>
                <c:pt idx="1006">
                  <c:v>35.200000000000003</c:v>
                </c:pt>
                <c:pt idx="1007">
                  <c:v>35.299999999999997</c:v>
                </c:pt>
                <c:pt idx="1008">
                  <c:v>35.299999999999997</c:v>
                </c:pt>
                <c:pt idx="1009">
                  <c:v>35.4</c:v>
                </c:pt>
                <c:pt idx="1010">
                  <c:v>35.5</c:v>
                </c:pt>
                <c:pt idx="1011">
                  <c:v>35.6</c:v>
                </c:pt>
                <c:pt idx="1012">
                  <c:v>35.700000000000003</c:v>
                </c:pt>
                <c:pt idx="1013">
                  <c:v>35.799999999999997</c:v>
                </c:pt>
                <c:pt idx="1014">
                  <c:v>35.9</c:v>
                </c:pt>
                <c:pt idx="1015">
                  <c:v>36</c:v>
                </c:pt>
                <c:pt idx="1016">
                  <c:v>36.1</c:v>
                </c:pt>
                <c:pt idx="1017">
                  <c:v>36.200000000000003</c:v>
                </c:pt>
                <c:pt idx="1018">
                  <c:v>36.299999999999997</c:v>
                </c:pt>
                <c:pt idx="1019">
                  <c:v>36.4</c:v>
                </c:pt>
                <c:pt idx="1020">
                  <c:v>36.5</c:v>
                </c:pt>
                <c:pt idx="1021">
                  <c:v>36.6</c:v>
                </c:pt>
                <c:pt idx="1022">
                  <c:v>36.700000000000003</c:v>
                </c:pt>
                <c:pt idx="1023">
                  <c:v>36.9</c:v>
                </c:pt>
                <c:pt idx="1024">
                  <c:v>37</c:v>
                </c:pt>
                <c:pt idx="1025">
                  <c:v>37.1</c:v>
                </c:pt>
                <c:pt idx="1026">
                  <c:v>37.200000000000003</c:v>
                </c:pt>
                <c:pt idx="1027">
                  <c:v>37.4</c:v>
                </c:pt>
                <c:pt idx="1028">
                  <c:v>37.5</c:v>
                </c:pt>
                <c:pt idx="1029">
                  <c:v>37.6</c:v>
                </c:pt>
                <c:pt idx="1030">
                  <c:v>37.799999999999997</c:v>
                </c:pt>
                <c:pt idx="1031">
                  <c:v>37.9</c:v>
                </c:pt>
                <c:pt idx="1032">
                  <c:v>38.1</c:v>
                </c:pt>
                <c:pt idx="1033">
                  <c:v>38.200000000000003</c:v>
                </c:pt>
                <c:pt idx="1034">
                  <c:v>38.4</c:v>
                </c:pt>
                <c:pt idx="1035">
                  <c:v>38.6</c:v>
                </c:pt>
                <c:pt idx="1036">
                  <c:v>38.700000000000003</c:v>
                </c:pt>
                <c:pt idx="1037">
                  <c:v>38.9</c:v>
                </c:pt>
                <c:pt idx="1038">
                  <c:v>39.1</c:v>
                </c:pt>
                <c:pt idx="1039">
                  <c:v>39.200000000000003</c:v>
                </c:pt>
                <c:pt idx="1040">
                  <c:v>39.4</c:v>
                </c:pt>
                <c:pt idx="1041">
                  <c:v>39.6</c:v>
                </c:pt>
                <c:pt idx="1042">
                  <c:v>39.799999999999997</c:v>
                </c:pt>
                <c:pt idx="1043">
                  <c:v>40</c:v>
                </c:pt>
                <c:pt idx="1044">
                  <c:v>40.200000000000003</c:v>
                </c:pt>
                <c:pt idx="1045">
                  <c:v>40.4</c:v>
                </c:pt>
                <c:pt idx="1046">
                  <c:v>40.6</c:v>
                </c:pt>
                <c:pt idx="1047">
                  <c:v>40.799999999999997</c:v>
                </c:pt>
                <c:pt idx="1048">
                  <c:v>41</c:v>
                </c:pt>
                <c:pt idx="1049">
                  <c:v>41.3</c:v>
                </c:pt>
                <c:pt idx="1050">
                  <c:v>41.5</c:v>
                </c:pt>
                <c:pt idx="1051">
                  <c:v>41.7</c:v>
                </c:pt>
                <c:pt idx="1052">
                  <c:v>42</c:v>
                </c:pt>
                <c:pt idx="1053">
                  <c:v>42.2</c:v>
                </c:pt>
                <c:pt idx="1054">
                  <c:v>42.5</c:v>
                </c:pt>
                <c:pt idx="1055">
                  <c:v>42.7</c:v>
                </c:pt>
                <c:pt idx="1056">
                  <c:v>43</c:v>
                </c:pt>
                <c:pt idx="1057">
                  <c:v>43.3</c:v>
                </c:pt>
                <c:pt idx="1058">
                  <c:v>43.6</c:v>
                </c:pt>
                <c:pt idx="1059">
                  <c:v>43.9</c:v>
                </c:pt>
                <c:pt idx="1060">
                  <c:v>44.2</c:v>
                </c:pt>
                <c:pt idx="1061">
                  <c:v>44.5</c:v>
                </c:pt>
                <c:pt idx="1062">
                  <c:v>44.8</c:v>
                </c:pt>
                <c:pt idx="1063">
                  <c:v>45.1</c:v>
                </c:pt>
                <c:pt idx="1064">
                  <c:v>45.4</c:v>
                </c:pt>
                <c:pt idx="1065">
                  <c:v>45.8</c:v>
                </c:pt>
                <c:pt idx="1066">
                  <c:v>46.1</c:v>
                </c:pt>
                <c:pt idx="1067">
                  <c:v>46.5</c:v>
                </c:pt>
                <c:pt idx="1068">
                  <c:v>46.8</c:v>
                </c:pt>
                <c:pt idx="1069">
                  <c:v>47.2</c:v>
                </c:pt>
                <c:pt idx="1070">
                  <c:v>47.6</c:v>
                </c:pt>
                <c:pt idx="1071">
                  <c:v>48</c:v>
                </c:pt>
                <c:pt idx="1072">
                  <c:v>48.4</c:v>
                </c:pt>
                <c:pt idx="1073">
                  <c:v>48.8</c:v>
                </c:pt>
                <c:pt idx="1074">
                  <c:v>49.3</c:v>
                </c:pt>
                <c:pt idx="1075">
                  <c:v>49.7</c:v>
                </c:pt>
                <c:pt idx="1076">
                  <c:v>50.2</c:v>
                </c:pt>
                <c:pt idx="1077">
                  <c:v>50.6</c:v>
                </c:pt>
                <c:pt idx="1078">
                  <c:v>51.1</c:v>
                </c:pt>
                <c:pt idx="1079">
                  <c:v>51.6</c:v>
                </c:pt>
                <c:pt idx="1080">
                  <c:v>52.1</c:v>
                </c:pt>
                <c:pt idx="1081">
                  <c:v>52.6</c:v>
                </c:pt>
                <c:pt idx="1082">
                  <c:v>53.2</c:v>
                </c:pt>
                <c:pt idx="1083">
                  <c:v>53.7</c:v>
                </c:pt>
                <c:pt idx="1084">
                  <c:v>54.3</c:v>
                </c:pt>
                <c:pt idx="1085">
                  <c:v>54.9</c:v>
                </c:pt>
                <c:pt idx="1086">
                  <c:v>55.5</c:v>
                </c:pt>
                <c:pt idx="1087">
                  <c:v>56.1</c:v>
                </c:pt>
                <c:pt idx="1088">
                  <c:v>56.8</c:v>
                </c:pt>
                <c:pt idx="1089">
                  <c:v>57.5</c:v>
                </c:pt>
                <c:pt idx="1090">
                  <c:v>58.1</c:v>
                </c:pt>
                <c:pt idx="1091">
                  <c:v>58.8</c:v>
                </c:pt>
                <c:pt idx="1092">
                  <c:v>59.6</c:v>
                </c:pt>
                <c:pt idx="1093">
                  <c:v>60.3</c:v>
                </c:pt>
                <c:pt idx="1094">
                  <c:v>61.1</c:v>
                </c:pt>
                <c:pt idx="1095">
                  <c:v>61.9</c:v>
                </c:pt>
                <c:pt idx="1096">
                  <c:v>62.7</c:v>
                </c:pt>
                <c:pt idx="1097">
                  <c:v>63.6</c:v>
                </c:pt>
                <c:pt idx="1098">
                  <c:v>64.5</c:v>
                </c:pt>
                <c:pt idx="1099">
                  <c:v>65.400000000000006</c:v>
                </c:pt>
                <c:pt idx="1100">
                  <c:v>66.3</c:v>
                </c:pt>
                <c:pt idx="1101">
                  <c:v>67.3</c:v>
                </c:pt>
                <c:pt idx="1102">
                  <c:v>68.3</c:v>
                </c:pt>
                <c:pt idx="1103">
                  <c:v>69.400000000000006</c:v>
                </c:pt>
                <c:pt idx="1104">
                  <c:v>70.5</c:v>
                </c:pt>
                <c:pt idx="1105">
                  <c:v>71.599999999999994</c:v>
                </c:pt>
                <c:pt idx="1106">
                  <c:v>72.7</c:v>
                </c:pt>
                <c:pt idx="1107">
                  <c:v>73.900000000000006</c:v>
                </c:pt>
                <c:pt idx="1108">
                  <c:v>75.2</c:v>
                </c:pt>
                <c:pt idx="1109">
                  <c:v>76.5</c:v>
                </c:pt>
                <c:pt idx="1110">
                  <c:v>77.8</c:v>
                </c:pt>
                <c:pt idx="1111">
                  <c:v>79.2</c:v>
                </c:pt>
                <c:pt idx="1112">
                  <c:v>80.599999999999994</c:v>
                </c:pt>
                <c:pt idx="1113">
                  <c:v>82.1</c:v>
                </c:pt>
                <c:pt idx="1114">
                  <c:v>83.6</c:v>
                </c:pt>
                <c:pt idx="1115">
                  <c:v>85.2</c:v>
                </c:pt>
                <c:pt idx="1116">
                  <c:v>86.9</c:v>
                </c:pt>
                <c:pt idx="1117">
                  <c:v>88.6</c:v>
                </c:pt>
                <c:pt idx="1118">
                  <c:v>90.4</c:v>
                </c:pt>
                <c:pt idx="1119">
                  <c:v>92.3</c:v>
                </c:pt>
                <c:pt idx="1120">
                  <c:v>94.2</c:v>
                </c:pt>
                <c:pt idx="1121">
                  <c:v>96.2</c:v>
                </c:pt>
                <c:pt idx="1122">
                  <c:v>98.3</c:v>
                </c:pt>
                <c:pt idx="1123">
                  <c:v>100.5</c:v>
                </c:pt>
                <c:pt idx="1124">
                  <c:v>102.7</c:v>
                </c:pt>
                <c:pt idx="1125">
                  <c:v>105.1</c:v>
                </c:pt>
                <c:pt idx="1126">
                  <c:v>107.5</c:v>
                </c:pt>
                <c:pt idx="1127">
                  <c:v>110</c:v>
                </c:pt>
                <c:pt idx="1128">
                  <c:v>112.7</c:v>
                </c:pt>
                <c:pt idx="1129">
                  <c:v>115.4</c:v>
                </c:pt>
                <c:pt idx="1130">
                  <c:v>118.3</c:v>
                </c:pt>
                <c:pt idx="1131">
                  <c:v>121.3</c:v>
                </c:pt>
                <c:pt idx="1132">
                  <c:v>124.3</c:v>
                </c:pt>
                <c:pt idx="1133">
                  <c:v>127.5</c:v>
                </c:pt>
                <c:pt idx="1134">
                  <c:v>130.9</c:v>
                </c:pt>
                <c:pt idx="1135">
                  <c:v>134.30000000000001</c:v>
                </c:pt>
                <c:pt idx="1136">
                  <c:v>137.9</c:v>
                </c:pt>
                <c:pt idx="1137">
                  <c:v>141.69999999999999</c:v>
                </c:pt>
                <c:pt idx="1138">
                  <c:v>145.5</c:v>
                </c:pt>
                <c:pt idx="1139">
                  <c:v>149.5</c:v>
                </c:pt>
                <c:pt idx="1140">
                  <c:v>153.69999999999999</c:v>
                </c:pt>
                <c:pt idx="1141">
                  <c:v>158</c:v>
                </c:pt>
                <c:pt idx="1142">
                  <c:v>162.4</c:v>
                </c:pt>
                <c:pt idx="1143">
                  <c:v>167</c:v>
                </c:pt>
                <c:pt idx="1144">
                  <c:v>171.7</c:v>
                </c:pt>
                <c:pt idx="1145">
                  <c:v>176.5</c:v>
                </c:pt>
                <c:pt idx="1146">
                  <c:v>181.4</c:v>
                </c:pt>
                <c:pt idx="1147">
                  <c:v>186.5</c:v>
                </c:pt>
                <c:pt idx="1148">
                  <c:v>191.6</c:v>
                </c:pt>
                <c:pt idx="1149">
                  <c:v>196.8</c:v>
                </c:pt>
                <c:pt idx="1150">
                  <c:v>202</c:v>
                </c:pt>
                <c:pt idx="1151">
                  <c:v>207.2</c:v>
                </c:pt>
                <c:pt idx="1152">
                  <c:v>212.4</c:v>
                </c:pt>
                <c:pt idx="1153">
                  <c:v>217.6</c:v>
                </c:pt>
                <c:pt idx="1154">
                  <c:v>222.7</c:v>
                </c:pt>
                <c:pt idx="1155">
                  <c:v>227.6</c:v>
                </c:pt>
                <c:pt idx="1156">
                  <c:v>232.3</c:v>
                </c:pt>
                <c:pt idx="1157">
                  <c:v>236.7</c:v>
                </c:pt>
                <c:pt idx="1158">
                  <c:v>240.9</c:v>
                </c:pt>
                <c:pt idx="1159">
                  <c:v>244.7</c:v>
                </c:pt>
                <c:pt idx="1160">
                  <c:v>248.1</c:v>
                </c:pt>
                <c:pt idx="1161">
                  <c:v>251.1</c:v>
                </c:pt>
                <c:pt idx="1162">
                  <c:v>253.7</c:v>
                </c:pt>
                <c:pt idx="1163">
                  <c:v>255.9</c:v>
                </c:pt>
                <c:pt idx="1164">
                  <c:v>257.60000000000002</c:v>
                </c:pt>
                <c:pt idx="1165">
                  <c:v>259.10000000000002</c:v>
                </c:pt>
                <c:pt idx="1166">
                  <c:v>260.2</c:v>
                </c:pt>
                <c:pt idx="1167">
                  <c:v>261.10000000000002</c:v>
                </c:pt>
                <c:pt idx="1168">
                  <c:v>261.8</c:v>
                </c:pt>
                <c:pt idx="1169">
                  <c:v>262.3</c:v>
                </c:pt>
                <c:pt idx="1170">
                  <c:v>262.8</c:v>
                </c:pt>
                <c:pt idx="1171">
                  <c:v>263.2</c:v>
                </c:pt>
                <c:pt idx="1172">
                  <c:v>263.5</c:v>
                </c:pt>
                <c:pt idx="1173">
                  <c:v>263.7</c:v>
                </c:pt>
                <c:pt idx="1174">
                  <c:v>263.89999999999998</c:v>
                </c:pt>
                <c:pt idx="1175">
                  <c:v>264.10000000000002</c:v>
                </c:pt>
                <c:pt idx="1176">
                  <c:v>264.2</c:v>
                </c:pt>
                <c:pt idx="1177">
                  <c:v>264.2</c:v>
                </c:pt>
                <c:pt idx="1178">
                  <c:v>264.3</c:v>
                </c:pt>
                <c:pt idx="1179">
                  <c:v>264.2</c:v>
                </c:pt>
                <c:pt idx="1180">
                  <c:v>264.10000000000002</c:v>
                </c:pt>
                <c:pt idx="1181">
                  <c:v>264</c:v>
                </c:pt>
                <c:pt idx="1182">
                  <c:v>263.8</c:v>
                </c:pt>
                <c:pt idx="1183">
                  <c:v>263.5</c:v>
                </c:pt>
                <c:pt idx="1184">
                  <c:v>263.2</c:v>
                </c:pt>
                <c:pt idx="1185">
                  <c:v>262.8</c:v>
                </c:pt>
                <c:pt idx="1186">
                  <c:v>262.3</c:v>
                </c:pt>
                <c:pt idx="1187">
                  <c:v>261.8</c:v>
                </c:pt>
                <c:pt idx="1188">
                  <c:v>261.10000000000002</c:v>
                </c:pt>
                <c:pt idx="1189">
                  <c:v>260.2</c:v>
                </c:pt>
                <c:pt idx="1190">
                  <c:v>259.10000000000002</c:v>
                </c:pt>
              </c:numCache>
            </c:numRef>
          </c:yVal>
          <c:smooth val="1"/>
          <c:extLst>
            <c:ext xmlns:c16="http://schemas.microsoft.com/office/drawing/2014/chart" uri="{C3380CC4-5D6E-409C-BE32-E72D297353CC}">
              <c16:uniqueId val="{00000000-C99E-4E9D-81F8-05E2D6EC0CA5}"/>
            </c:ext>
          </c:extLst>
        </c:ser>
        <c:ser>
          <c:idx val="4"/>
          <c:order val="1"/>
          <c:tx>
            <c:strRef>
              <c:f>Tatm!$O$5</c:f>
              <c:strCache>
                <c:ptCount val="1"/>
                <c:pt idx="0">
                  <c:v>6</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Tatm!$O$6:$O$1196</c:f>
              <c:numCache>
                <c:formatCode>General</c:formatCode>
                <c:ptCount val="1191"/>
                <c:pt idx="0">
                  <c:v>7.2</c:v>
                </c:pt>
                <c:pt idx="1">
                  <c:v>7.2</c:v>
                </c:pt>
                <c:pt idx="2">
                  <c:v>7.3</c:v>
                </c:pt>
                <c:pt idx="3">
                  <c:v>7.4</c:v>
                </c:pt>
                <c:pt idx="4">
                  <c:v>7.4</c:v>
                </c:pt>
                <c:pt idx="5">
                  <c:v>7.4</c:v>
                </c:pt>
                <c:pt idx="6">
                  <c:v>7.5</c:v>
                </c:pt>
                <c:pt idx="7">
                  <c:v>7.5</c:v>
                </c:pt>
                <c:pt idx="8">
                  <c:v>7.5</c:v>
                </c:pt>
                <c:pt idx="9">
                  <c:v>7.5</c:v>
                </c:pt>
                <c:pt idx="10">
                  <c:v>7.6</c:v>
                </c:pt>
                <c:pt idx="11">
                  <c:v>7.6</c:v>
                </c:pt>
                <c:pt idx="12">
                  <c:v>7.6</c:v>
                </c:pt>
                <c:pt idx="13">
                  <c:v>7.6</c:v>
                </c:pt>
                <c:pt idx="14">
                  <c:v>7.6</c:v>
                </c:pt>
                <c:pt idx="15">
                  <c:v>7.6</c:v>
                </c:pt>
                <c:pt idx="16">
                  <c:v>7.6</c:v>
                </c:pt>
                <c:pt idx="17">
                  <c:v>7.7</c:v>
                </c:pt>
                <c:pt idx="18">
                  <c:v>7.7</c:v>
                </c:pt>
                <c:pt idx="19">
                  <c:v>7.7</c:v>
                </c:pt>
                <c:pt idx="20">
                  <c:v>7.7</c:v>
                </c:pt>
                <c:pt idx="21">
                  <c:v>7.7</c:v>
                </c:pt>
                <c:pt idx="22">
                  <c:v>7.7</c:v>
                </c:pt>
                <c:pt idx="23">
                  <c:v>7.7</c:v>
                </c:pt>
                <c:pt idx="24">
                  <c:v>7.7</c:v>
                </c:pt>
                <c:pt idx="25">
                  <c:v>7.7</c:v>
                </c:pt>
                <c:pt idx="26">
                  <c:v>7.8</c:v>
                </c:pt>
                <c:pt idx="27">
                  <c:v>7.8</c:v>
                </c:pt>
                <c:pt idx="28">
                  <c:v>7.8</c:v>
                </c:pt>
                <c:pt idx="29">
                  <c:v>7.8</c:v>
                </c:pt>
                <c:pt idx="30">
                  <c:v>7.8</c:v>
                </c:pt>
                <c:pt idx="31">
                  <c:v>7.8</c:v>
                </c:pt>
                <c:pt idx="32">
                  <c:v>7.8</c:v>
                </c:pt>
                <c:pt idx="33">
                  <c:v>7.8</c:v>
                </c:pt>
                <c:pt idx="34">
                  <c:v>7.8</c:v>
                </c:pt>
                <c:pt idx="35">
                  <c:v>7.9</c:v>
                </c:pt>
                <c:pt idx="36">
                  <c:v>7.9</c:v>
                </c:pt>
                <c:pt idx="37">
                  <c:v>7.9</c:v>
                </c:pt>
                <c:pt idx="38">
                  <c:v>7.9</c:v>
                </c:pt>
                <c:pt idx="39">
                  <c:v>7.9</c:v>
                </c:pt>
                <c:pt idx="40">
                  <c:v>7.9</c:v>
                </c:pt>
                <c:pt idx="41">
                  <c:v>7.9</c:v>
                </c:pt>
                <c:pt idx="42">
                  <c:v>7.9</c:v>
                </c:pt>
                <c:pt idx="43">
                  <c:v>8</c:v>
                </c:pt>
                <c:pt idx="44">
                  <c:v>8</c:v>
                </c:pt>
                <c:pt idx="45">
                  <c:v>8</c:v>
                </c:pt>
                <c:pt idx="46">
                  <c:v>8</c:v>
                </c:pt>
                <c:pt idx="47">
                  <c:v>8</c:v>
                </c:pt>
                <c:pt idx="48">
                  <c:v>8</c:v>
                </c:pt>
                <c:pt idx="49">
                  <c:v>8</c:v>
                </c:pt>
                <c:pt idx="50">
                  <c:v>8.1</c:v>
                </c:pt>
                <c:pt idx="51">
                  <c:v>8.1</c:v>
                </c:pt>
                <c:pt idx="52">
                  <c:v>8.1</c:v>
                </c:pt>
                <c:pt idx="53">
                  <c:v>8.1</c:v>
                </c:pt>
                <c:pt idx="54">
                  <c:v>8.1</c:v>
                </c:pt>
                <c:pt idx="55">
                  <c:v>8.1</c:v>
                </c:pt>
                <c:pt idx="56">
                  <c:v>8.1999999999999993</c:v>
                </c:pt>
                <c:pt idx="57">
                  <c:v>8.1999999999999993</c:v>
                </c:pt>
                <c:pt idx="58">
                  <c:v>8.1999999999999993</c:v>
                </c:pt>
                <c:pt idx="59">
                  <c:v>8.1999999999999993</c:v>
                </c:pt>
                <c:pt idx="60">
                  <c:v>8.1999999999999993</c:v>
                </c:pt>
                <c:pt idx="61">
                  <c:v>8.3000000000000007</c:v>
                </c:pt>
                <c:pt idx="62">
                  <c:v>8.3000000000000007</c:v>
                </c:pt>
                <c:pt idx="63">
                  <c:v>8.3000000000000007</c:v>
                </c:pt>
                <c:pt idx="64">
                  <c:v>8.3000000000000007</c:v>
                </c:pt>
                <c:pt idx="65">
                  <c:v>8.3000000000000007</c:v>
                </c:pt>
                <c:pt idx="66">
                  <c:v>8.4</c:v>
                </c:pt>
                <c:pt idx="67">
                  <c:v>8.4</c:v>
                </c:pt>
                <c:pt idx="68">
                  <c:v>8.4</c:v>
                </c:pt>
                <c:pt idx="69">
                  <c:v>8.4</c:v>
                </c:pt>
                <c:pt idx="70">
                  <c:v>8.4</c:v>
                </c:pt>
                <c:pt idx="71">
                  <c:v>8.5</c:v>
                </c:pt>
                <c:pt idx="72">
                  <c:v>8.5</c:v>
                </c:pt>
                <c:pt idx="73">
                  <c:v>8.5</c:v>
                </c:pt>
                <c:pt idx="74">
                  <c:v>8.5</c:v>
                </c:pt>
                <c:pt idx="75">
                  <c:v>8.5</c:v>
                </c:pt>
                <c:pt idx="76">
                  <c:v>8.6</c:v>
                </c:pt>
                <c:pt idx="77">
                  <c:v>8.6</c:v>
                </c:pt>
                <c:pt idx="78">
                  <c:v>8.6</c:v>
                </c:pt>
                <c:pt idx="79">
                  <c:v>8.6</c:v>
                </c:pt>
                <c:pt idx="80">
                  <c:v>8.6999999999999993</c:v>
                </c:pt>
                <c:pt idx="81">
                  <c:v>8.6999999999999993</c:v>
                </c:pt>
                <c:pt idx="82">
                  <c:v>8.6999999999999993</c:v>
                </c:pt>
                <c:pt idx="83">
                  <c:v>8.8000000000000007</c:v>
                </c:pt>
                <c:pt idx="84">
                  <c:v>8.8000000000000007</c:v>
                </c:pt>
                <c:pt idx="85">
                  <c:v>8.8000000000000007</c:v>
                </c:pt>
                <c:pt idx="86">
                  <c:v>8.8000000000000007</c:v>
                </c:pt>
                <c:pt idx="87">
                  <c:v>8.9</c:v>
                </c:pt>
                <c:pt idx="88">
                  <c:v>8.9</c:v>
                </c:pt>
                <c:pt idx="89">
                  <c:v>8.9</c:v>
                </c:pt>
                <c:pt idx="90">
                  <c:v>9</c:v>
                </c:pt>
                <c:pt idx="91">
                  <c:v>9</c:v>
                </c:pt>
                <c:pt idx="92">
                  <c:v>9</c:v>
                </c:pt>
                <c:pt idx="93">
                  <c:v>9</c:v>
                </c:pt>
                <c:pt idx="94">
                  <c:v>9.1</c:v>
                </c:pt>
                <c:pt idx="95">
                  <c:v>9.1</c:v>
                </c:pt>
                <c:pt idx="96">
                  <c:v>9.1</c:v>
                </c:pt>
                <c:pt idx="97">
                  <c:v>9.1999999999999993</c:v>
                </c:pt>
                <c:pt idx="98">
                  <c:v>9.1999999999999993</c:v>
                </c:pt>
                <c:pt idx="99">
                  <c:v>9.1999999999999993</c:v>
                </c:pt>
                <c:pt idx="100">
                  <c:v>9.3000000000000007</c:v>
                </c:pt>
                <c:pt idx="101">
                  <c:v>9.3000000000000007</c:v>
                </c:pt>
                <c:pt idx="102">
                  <c:v>9.4</c:v>
                </c:pt>
                <c:pt idx="103">
                  <c:v>9.4</c:v>
                </c:pt>
                <c:pt idx="104">
                  <c:v>9.4</c:v>
                </c:pt>
                <c:pt idx="105">
                  <c:v>9.5</c:v>
                </c:pt>
                <c:pt idx="106">
                  <c:v>9.5</c:v>
                </c:pt>
                <c:pt idx="107">
                  <c:v>9.6</c:v>
                </c:pt>
                <c:pt idx="108">
                  <c:v>9.6</c:v>
                </c:pt>
                <c:pt idx="109">
                  <c:v>9.6</c:v>
                </c:pt>
                <c:pt idx="110">
                  <c:v>9.6999999999999993</c:v>
                </c:pt>
                <c:pt idx="111">
                  <c:v>9.6999999999999993</c:v>
                </c:pt>
                <c:pt idx="112">
                  <c:v>9.8000000000000007</c:v>
                </c:pt>
                <c:pt idx="113">
                  <c:v>9.8000000000000007</c:v>
                </c:pt>
                <c:pt idx="114">
                  <c:v>9.9</c:v>
                </c:pt>
                <c:pt idx="115">
                  <c:v>9.9</c:v>
                </c:pt>
                <c:pt idx="116">
                  <c:v>10</c:v>
                </c:pt>
                <c:pt idx="117">
                  <c:v>10</c:v>
                </c:pt>
                <c:pt idx="118">
                  <c:v>10.1</c:v>
                </c:pt>
                <c:pt idx="119">
                  <c:v>10.1</c:v>
                </c:pt>
                <c:pt idx="120">
                  <c:v>10.199999999999999</c:v>
                </c:pt>
                <c:pt idx="121">
                  <c:v>10.199999999999999</c:v>
                </c:pt>
                <c:pt idx="122">
                  <c:v>10.3</c:v>
                </c:pt>
                <c:pt idx="123">
                  <c:v>10.3</c:v>
                </c:pt>
                <c:pt idx="124">
                  <c:v>10.4</c:v>
                </c:pt>
                <c:pt idx="125">
                  <c:v>10.4</c:v>
                </c:pt>
                <c:pt idx="126">
                  <c:v>10.5</c:v>
                </c:pt>
                <c:pt idx="127">
                  <c:v>10.6</c:v>
                </c:pt>
                <c:pt idx="128">
                  <c:v>10.6</c:v>
                </c:pt>
                <c:pt idx="129">
                  <c:v>10.7</c:v>
                </c:pt>
                <c:pt idx="130">
                  <c:v>10.8</c:v>
                </c:pt>
                <c:pt idx="131">
                  <c:v>10.8</c:v>
                </c:pt>
                <c:pt idx="132">
                  <c:v>10.9</c:v>
                </c:pt>
                <c:pt idx="133">
                  <c:v>11</c:v>
                </c:pt>
                <c:pt idx="134">
                  <c:v>11.1</c:v>
                </c:pt>
                <c:pt idx="135">
                  <c:v>11.1</c:v>
                </c:pt>
                <c:pt idx="136">
                  <c:v>11.2</c:v>
                </c:pt>
                <c:pt idx="137">
                  <c:v>11.3</c:v>
                </c:pt>
                <c:pt idx="138">
                  <c:v>11.4</c:v>
                </c:pt>
                <c:pt idx="139">
                  <c:v>11.5</c:v>
                </c:pt>
                <c:pt idx="140">
                  <c:v>11.5</c:v>
                </c:pt>
                <c:pt idx="141">
                  <c:v>11.6</c:v>
                </c:pt>
                <c:pt idx="142">
                  <c:v>11.7</c:v>
                </c:pt>
                <c:pt idx="143">
                  <c:v>11.8</c:v>
                </c:pt>
                <c:pt idx="144">
                  <c:v>11.9</c:v>
                </c:pt>
                <c:pt idx="145">
                  <c:v>12</c:v>
                </c:pt>
                <c:pt idx="146">
                  <c:v>12.1</c:v>
                </c:pt>
                <c:pt idx="147">
                  <c:v>12.2</c:v>
                </c:pt>
                <c:pt idx="148">
                  <c:v>12.4</c:v>
                </c:pt>
                <c:pt idx="149">
                  <c:v>12.5</c:v>
                </c:pt>
                <c:pt idx="150">
                  <c:v>12.6</c:v>
                </c:pt>
                <c:pt idx="151">
                  <c:v>12.7</c:v>
                </c:pt>
                <c:pt idx="152">
                  <c:v>12.9</c:v>
                </c:pt>
                <c:pt idx="153">
                  <c:v>13</c:v>
                </c:pt>
                <c:pt idx="154">
                  <c:v>13.1</c:v>
                </c:pt>
                <c:pt idx="155">
                  <c:v>13.3</c:v>
                </c:pt>
                <c:pt idx="156">
                  <c:v>13.4</c:v>
                </c:pt>
                <c:pt idx="157">
                  <c:v>13.6</c:v>
                </c:pt>
                <c:pt idx="158">
                  <c:v>13.7</c:v>
                </c:pt>
                <c:pt idx="159">
                  <c:v>13.9</c:v>
                </c:pt>
                <c:pt idx="160">
                  <c:v>14.1</c:v>
                </c:pt>
                <c:pt idx="161">
                  <c:v>14.3</c:v>
                </c:pt>
                <c:pt idx="162">
                  <c:v>14.5</c:v>
                </c:pt>
                <c:pt idx="163">
                  <c:v>14.7</c:v>
                </c:pt>
                <c:pt idx="164">
                  <c:v>14.9</c:v>
                </c:pt>
                <c:pt idx="165">
                  <c:v>15.1</c:v>
                </c:pt>
                <c:pt idx="166">
                  <c:v>15.4</c:v>
                </c:pt>
                <c:pt idx="167">
                  <c:v>15.6</c:v>
                </c:pt>
                <c:pt idx="168">
                  <c:v>15.9</c:v>
                </c:pt>
                <c:pt idx="169">
                  <c:v>16.100000000000001</c:v>
                </c:pt>
                <c:pt idx="170">
                  <c:v>16.399999999999999</c:v>
                </c:pt>
                <c:pt idx="171">
                  <c:v>16.7</c:v>
                </c:pt>
                <c:pt idx="172">
                  <c:v>17</c:v>
                </c:pt>
                <c:pt idx="173">
                  <c:v>17.399999999999999</c:v>
                </c:pt>
                <c:pt idx="174">
                  <c:v>17.7</c:v>
                </c:pt>
                <c:pt idx="175">
                  <c:v>18.100000000000001</c:v>
                </c:pt>
                <c:pt idx="176">
                  <c:v>18.5</c:v>
                </c:pt>
                <c:pt idx="177">
                  <c:v>18.899999999999999</c:v>
                </c:pt>
                <c:pt idx="178">
                  <c:v>19.3</c:v>
                </c:pt>
                <c:pt idx="179">
                  <c:v>19.8</c:v>
                </c:pt>
                <c:pt idx="180">
                  <c:v>20.3</c:v>
                </c:pt>
                <c:pt idx="181">
                  <c:v>20.8</c:v>
                </c:pt>
                <c:pt idx="182">
                  <c:v>21.4</c:v>
                </c:pt>
                <c:pt idx="183">
                  <c:v>22</c:v>
                </c:pt>
                <c:pt idx="184">
                  <c:v>22.6</c:v>
                </c:pt>
                <c:pt idx="185">
                  <c:v>23.3</c:v>
                </c:pt>
                <c:pt idx="186">
                  <c:v>24</c:v>
                </c:pt>
                <c:pt idx="187">
                  <c:v>24.7</c:v>
                </c:pt>
                <c:pt idx="188">
                  <c:v>25.5</c:v>
                </c:pt>
                <c:pt idx="189">
                  <c:v>26.3</c:v>
                </c:pt>
                <c:pt idx="190">
                  <c:v>27.2</c:v>
                </c:pt>
                <c:pt idx="191">
                  <c:v>28.2</c:v>
                </c:pt>
                <c:pt idx="192">
                  <c:v>29.2</c:v>
                </c:pt>
                <c:pt idx="193">
                  <c:v>30.2</c:v>
                </c:pt>
                <c:pt idx="194">
                  <c:v>31.3</c:v>
                </c:pt>
                <c:pt idx="195">
                  <c:v>32.5</c:v>
                </c:pt>
                <c:pt idx="196">
                  <c:v>33.700000000000003</c:v>
                </c:pt>
                <c:pt idx="197">
                  <c:v>35</c:v>
                </c:pt>
                <c:pt idx="198">
                  <c:v>36.299999999999997</c:v>
                </c:pt>
                <c:pt idx="199">
                  <c:v>37.700000000000003</c:v>
                </c:pt>
                <c:pt idx="200">
                  <c:v>39.200000000000003</c:v>
                </c:pt>
                <c:pt idx="201">
                  <c:v>40.6</c:v>
                </c:pt>
                <c:pt idx="202">
                  <c:v>42.1</c:v>
                </c:pt>
                <c:pt idx="203">
                  <c:v>43.6</c:v>
                </c:pt>
                <c:pt idx="204">
                  <c:v>45.1</c:v>
                </c:pt>
                <c:pt idx="205">
                  <c:v>46.6</c:v>
                </c:pt>
                <c:pt idx="206">
                  <c:v>48</c:v>
                </c:pt>
                <c:pt idx="207">
                  <c:v>49.3</c:v>
                </c:pt>
                <c:pt idx="208">
                  <c:v>50.6</c:v>
                </c:pt>
                <c:pt idx="209">
                  <c:v>51.7</c:v>
                </c:pt>
                <c:pt idx="210">
                  <c:v>52.6</c:v>
                </c:pt>
                <c:pt idx="211">
                  <c:v>53.4</c:v>
                </c:pt>
                <c:pt idx="212">
                  <c:v>54</c:v>
                </c:pt>
                <c:pt idx="213">
                  <c:v>54.3</c:v>
                </c:pt>
                <c:pt idx="214">
                  <c:v>54.5</c:v>
                </c:pt>
                <c:pt idx="215">
                  <c:v>54.4</c:v>
                </c:pt>
                <c:pt idx="216">
                  <c:v>54.1</c:v>
                </c:pt>
                <c:pt idx="217">
                  <c:v>53.6</c:v>
                </c:pt>
                <c:pt idx="218">
                  <c:v>53</c:v>
                </c:pt>
                <c:pt idx="219">
                  <c:v>52.3</c:v>
                </c:pt>
                <c:pt idx="220">
                  <c:v>51.4</c:v>
                </c:pt>
                <c:pt idx="221">
                  <c:v>50.5</c:v>
                </c:pt>
                <c:pt idx="222">
                  <c:v>49.5</c:v>
                </c:pt>
                <c:pt idx="223">
                  <c:v>48.5</c:v>
                </c:pt>
                <c:pt idx="224">
                  <c:v>47.4</c:v>
                </c:pt>
                <c:pt idx="225">
                  <c:v>46.3</c:v>
                </c:pt>
                <c:pt idx="226">
                  <c:v>45.2</c:v>
                </c:pt>
                <c:pt idx="227">
                  <c:v>44.2</c:v>
                </c:pt>
                <c:pt idx="228">
                  <c:v>43.1</c:v>
                </c:pt>
                <c:pt idx="229">
                  <c:v>42.1</c:v>
                </c:pt>
                <c:pt idx="230">
                  <c:v>41.1</c:v>
                </c:pt>
                <c:pt idx="231">
                  <c:v>40.1</c:v>
                </c:pt>
                <c:pt idx="232">
                  <c:v>39.200000000000003</c:v>
                </c:pt>
                <c:pt idx="233">
                  <c:v>38.299999999999997</c:v>
                </c:pt>
                <c:pt idx="234">
                  <c:v>37.4</c:v>
                </c:pt>
                <c:pt idx="235">
                  <c:v>36.6</c:v>
                </c:pt>
                <c:pt idx="236">
                  <c:v>35.9</c:v>
                </c:pt>
                <c:pt idx="237">
                  <c:v>35.1</c:v>
                </c:pt>
                <c:pt idx="238">
                  <c:v>34.4</c:v>
                </c:pt>
                <c:pt idx="239">
                  <c:v>33.799999999999997</c:v>
                </c:pt>
                <c:pt idx="240">
                  <c:v>33.200000000000003</c:v>
                </c:pt>
                <c:pt idx="241">
                  <c:v>32.6</c:v>
                </c:pt>
                <c:pt idx="242">
                  <c:v>32</c:v>
                </c:pt>
                <c:pt idx="243">
                  <c:v>31.5</c:v>
                </c:pt>
                <c:pt idx="244">
                  <c:v>31</c:v>
                </c:pt>
                <c:pt idx="245">
                  <c:v>30.6</c:v>
                </c:pt>
                <c:pt idx="246">
                  <c:v>30.1</c:v>
                </c:pt>
                <c:pt idx="247">
                  <c:v>29.7</c:v>
                </c:pt>
                <c:pt idx="248">
                  <c:v>29.3</c:v>
                </c:pt>
                <c:pt idx="249">
                  <c:v>29</c:v>
                </c:pt>
                <c:pt idx="250">
                  <c:v>28.7</c:v>
                </c:pt>
                <c:pt idx="251">
                  <c:v>28.3</c:v>
                </c:pt>
                <c:pt idx="252">
                  <c:v>28</c:v>
                </c:pt>
                <c:pt idx="253">
                  <c:v>27.8</c:v>
                </c:pt>
                <c:pt idx="254">
                  <c:v>27.5</c:v>
                </c:pt>
                <c:pt idx="255">
                  <c:v>27.3</c:v>
                </c:pt>
                <c:pt idx="256">
                  <c:v>27</c:v>
                </c:pt>
                <c:pt idx="257">
                  <c:v>26.8</c:v>
                </c:pt>
                <c:pt idx="258">
                  <c:v>26.6</c:v>
                </c:pt>
                <c:pt idx="259">
                  <c:v>26.4</c:v>
                </c:pt>
                <c:pt idx="260">
                  <c:v>26.3</c:v>
                </c:pt>
                <c:pt idx="261">
                  <c:v>26.1</c:v>
                </c:pt>
                <c:pt idx="262">
                  <c:v>26</c:v>
                </c:pt>
                <c:pt idx="263">
                  <c:v>25.8</c:v>
                </c:pt>
                <c:pt idx="264">
                  <c:v>25.7</c:v>
                </c:pt>
                <c:pt idx="265">
                  <c:v>25.6</c:v>
                </c:pt>
                <c:pt idx="266">
                  <c:v>25.5</c:v>
                </c:pt>
                <c:pt idx="267">
                  <c:v>25.4</c:v>
                </c:pt>
                <c:pt idx="268">
                  <c:v>25.3</c:v>
                </c:pt>
                <c:pt idx="269">
                  <c:v>25.2</c:v>
                </c:pt>
                <c:pt idx="270">
                  <c:v>25.1</c:v>
                </c:pt>
                <c:pt idx="271">
                  <c:v>25.1</c:v>
                </c:pt>
                <c:pt idx="272">
                  <c:v>25</c:v>
                </c:pt>
                <c:pt idx="273">
                  <c:v>25</c:v>
                </c:pt>
                <c:pt idx="274">
                  <c:v>24.9</c:v>
                </c:pt>
                <c:pt idx="275">
                  <c:v>24.9</c:v>
                </c:pt>
                <c:pt idx="276">
                  <c:v>24.8</c:v>
                </c:pt>
                <c:pt idx="277">
                  <c:v>24.8</c:v>
                </c:pt>
                <c:pt idx="278">
                  <c:v>24.8</c:v>
                </c:pt>
                <c:pt idx="279">
                  <c:v>24.8</c:v>
                </c:pt>
                <c:pt idx="280">
                  <c:v>24.8</c:v>
                </c:pt>
                <c:pt idx="281">
                  <c:v>24.7</c:v>
                </c:pt>
                <c:pt idx="282">
                  <c:v>24.7</c:v>
                </c:pt>
                <c:pt idx="283">
                  <c:v>24.8</c:v>
                </c:pt>
                <c:pt idx="284">
                  <c:v>24.8</c:v>
                </c:pt>
                <c:pt idx="285">
                  <c:v>24.8</c:v>
                </c:pt>
                <c:pt idx="286">
                  <c:v>24.8</c:v>
                </c:pt>
                <c:pt idx="287">
                  <c:v>24.8</c:v>
                </c:pt>
                <c:pt idx="288">
                  <c:v>24.8</c:v>
                </c:pt>
                <c:pt idx="289">
                  <c:v>24.9</c:v>
                </c:pt>
                <c:pt idx="290">
                  <c:v>24.9</c:v>
                </c:pt>
                <c:pt idx="291">
                  <c:v>24.9</c:v>
                </c:pt>
                <c:pt idx="292">
                  <c:v>25</c:v>
                </c:pt>
                <c:pt idx="293">
                  <c:v>25</c:v>
                </c:pt>
                <c:pt idx="294">
                  <c:v>25</c:v>
                </c:pt>
                <c:pt idx="295">
                  <c:v>25.1</c:v>
                </c:pt>
                <c:pt idx="296">
                  <c:v>25.1</c:v>
                </c:pt>
                <c:pt idx="297">
                  <c:v>25.2</c:v>
                </c:pt>
                <c:pt idx="298">
                  <c:v>25.3</c:v>
                </c:pt>
                <c:pt idx="299">
                  <c:v>25.3</c:v>
                </c:pt>
                <c:pt idx="300">
                  <c:v>25.4</c:v>
                </c:pt>
                <c:pt idx="301">
                  <c:v>25.4</c:v>
                </c:pt>
                <c:pt idx="302">
                  <c:v>25.5</c:v>
                </c:pt>
                <c:pt idx="303">
                  <c:v>25.6</c:v>
                </c:pt>
                <c:pt idx="304">
                  <c:v>25.7</c:v>
                </c:pt>
                <c:pt idx="305">
                  <c:v>25.7</c:v>
                </c:pt>
                <c:pt idx="306">
                  <c:v>25.8</c:v>
                </c:pt>
                <c:pt idx="307">
                  <c:v>25.9</c:v>
                </c:pt>
                <c:pt idx="308">
                  <c:v>26</c:v>
                </c:pt>
                <c:pt idx="309">
                  <c:v>26.1</c:v>
                </c:pt>
                <c:pt idx="310">
                  <c:v>26.2</c:v>
                </c:pt>
                <c:pt idx="311">
                  <c:v>26.3</c:v>
                </c:pt>
                <c:pt idx="312">
                  <c:v>26.4</c:v>
                </c:pt>
                <c:pt idx="313">
                  <c:v>26.5</c:v>
                </c:pt>
                <c:pt idx="314">
                  <c:v>26.6</c:v>
                </c:pt>
                <c:pt idx="315">
                  <c:v>26.7</c:v>
                </c:pt>
                <c:pt idx="316">
                  <c:v>26.8</c:v>
                </c:pt>
                <c:pt idx="317">
                  <c:v>26.9</c:v>
                </c:pt>
                <c:pt idx="318">
                  <c:v>27</c:v>
                </c:pt>
                <c:pt idx="319">
                  <c:v>27.1</c:v>
                </c:pt>
                <c:pt idx="320">
                  <c:v>27.2</c:v>
                </c:pt>
                <c:pt idx="321">
                  <c:v>27.3</c:v>
                </c:pt>
                <c:pt idx="322">
                  <c:v>27.4</c:v>
                </c:pt>
                <c:pt idx="323">
                  <c:v>27.6</c:v>
                </c:pt>
                <c:pt idx="324">
                  <c:v>27.7</c:v>
                </c:pt>
                <c:pt idx="325">
                  <c:v>27.8</c:v>
                </c:pt>
                <c:pt idx="326">
                  <c:v>27.9</c:v>
                </c:pt>
                <c:pt idx="327">
                  <c:v>28.1</c:v>
                </c:pt>
                <c:pt idx="328">
                  <c:v>28.2</c:v>
                </c:pt>
                <c:pt idx="329">
                  <c:v>28.4</c:v>
                </c:pt>
                <c:pt idx="330">
                  <c:v>28.5</c:v>
                </c:pt>
                <c:pt idx="331">
                  <c:v>28.6</c:v>
                </c:pt>
                <c:pt idx="332">
                  <c:v>28.8</c:v>
                </c:pt>
                <c:pt idx="333">
                  <c:v>28.9</c:v>
                </c:pt>
                <c:pt idx="334">
                  <c:v>29.1</c:v>
                </c:pt>
                <c:pt idx="335">
                  <c:v>29.2</c:v>
                </c:pt>
                <c:pt idx="336">
                  <c:v>29.4</c:v>
                </c:pt>
                <c:pt idx="337">
                  <c:v>29.5</c:v>
                </c:pt>
                <c:pt idx="338">
                  <c:v>29.7</c:v>
                </c:pt>
                <c:pt idx="339">
                  <c:v>29.8</c:v>
                </c:pt>
                <c:pt idx="340">
                  <c:v>30</c:v>
                </c:pt>
                <c:pt idx="341">
                  <c:v>30.2</c:v>
                </c:pt>
                <c:pt idx="342">
                  <c:v>30.3</c:v>
                </c:pt>
                <c:pt idx="343">
                  <c:v>30.5</c:v>
                </c:pt>
                <c:pt idx="344">
                  <c:v>30.7</c:v>
                </c:pt>
                <c:pt idx="345">
                  <c:v>30.9</c:v>
                </c:pt>
                <c:pt idx="346">
                  <c:v>31</c:v>
                </c:pt>
                <c:pt idx="347">
                  <c:v>31.2</c:v>
                </c:pt>
                <c:pt idx="348">
                  <c:v>31.4</c:v>
                </c:pt>
                <c:pt idx="349">
                  <c:v>31.6</c:v>
                </c:pt>
                <c:pt idx="350">
                  <c:v>31.8</c:v>
                </c:pt>
                <c:pt idx="351">
                  <c:v>32</c:v>
                </c:pt>
                <c:pt idx="352">
                  <c:v>32.200000000000003</c:v>
                </c:pt>
                <c:pt idx="353">
                  <c:v>32.4</c:v>
                </c:pt>
                <c:pt idx="354">
                  <c:v>32.6</c:v>
                </c:pt>
                <c:pt idx="355">
                  <c:v>32.799999999999997</c:v>
                </c:pt>
                <c:pt idx="356">
                  <c:v>33</c:v>
                </c:pt>
                <c:pt idx="357">
                  <c:v>33.200000000000003</c:v>
                </c:pt>
                <c:pt idx="358">
                  <c:v>33.4</c:v>
                </c:pt>
                <c:pt idx="359">
                  <c:v>33.6</c:v>
                </c:pt>
                <c:pt idx="360">
                  <c:v>33.799999999999997</c:v>
                </c:pt>
                <c:pt idx="361">
                  <c:v>34</c:v>
                </c:pt>
                <c:pt idx="362">
                  <c:v>34.299999999999997</c:v>
                </c:pt>
                <c:pt idx="363">
                  <c:v>34.5</c:v>
                </c:pt>
                <c:pt idx="364">
                  <c:v>34.700000000000003</c:v>
                </c:pt>
                <c:pt idx="365">
                  <c:v>34.9</c:v>
                </c:pt>
                <c:pt idx="366">
                  <c:v>35.200000000000003</c:v>
                </c:pt>
                <c:pt idx="367">
                  <c:v>35.4</c:v>
                </c:pt>
                <c:pt idx="368">
                  <c:v>35.700000000000003</c:v>
                </c:pt>
                <c:pt idx="369">
                  <c:v>35.9</c:v>
                </c:pt>
                <c:pt idx="370">
                  <c:v>36.200000000000003</c:v>
                </c:pt>
                <c:pt idx="371">
                  <c:v>36.4</c:v>
                </c:pt>
                <c:pt idx="372">
                  <c:v>36.700000000000003</c:v>
                </c:pt>
                <c:pt idx="373">
                  <c:v>36.9</c:v>
                </c:pt>
                <c:pt idx="374">
                  <c:v>37.200000000000003</c:v>
                </c:pt>
                <c:pt idx="375">
                  <c:v>37.5</c:v>
                </c:pt>
                <c:pt idx="376">
                  <c:v>37.700000000000003</c:v>
                </c:pt>
                <c:pt idx="377">
                  <c:v>38</c:v>
                </c:pt>
                <c:pt idx="378">
                  <c:v>38.299999999999997</c:v>
                </c:pt>
                <c:pt idx="379">
                  <c:v>38.6</c:v>
                </c:pt>
                <c:pt idx="380">
                  <c:v>38.9</c:v>
                </c:pt>
                <c:pt idx="381">
                  <c:v>39.200000000000003</c:v>
                </c:pt>
                <c:pt idx="382">
                  <c:v>39.5</c:v>
                </c:pt>
                <c:pt idx="383">
                  <c:v>39.799999999999997</c:v>
                </c:pt>
                <c:pt idx="384">
                  <c:v>40.1</c:v>
                </c:pt>
                <c:pt idx="385">
                  <c:v>40.4</c:v>
                </c:pt>
                <c:pt idx="386">
                  <c:v>40.700000000000003</c:v>
                </c:pt>
                <c:pt idx="387">
                  <c:v>41</c:v>
                </c:pt>
                <c:pt idx="388">
                  <c:v>41.3</c:v>
                </c:pt>
                <c:pt idx="389">
                  <c:v>41.7</c:v>
                </c:pt>
                <c:pt idx="390">
                  <c:v>42</c:v>
                </c:pt>
                <c:pt idx="391">
                  <c:v>42.3</c:v>
                </c:pt>
                <c:pt idx="392">
                  <c:v>42.7</c:v>
                </c:pt>
                <c:pt idx="393">
                  <c:v>43</c:v>
                </c:pt>
                <c:pt idx="394">
                  <c:v>43.4</c:v>
                </c:pt>
                <c:pt idx="395">
                  <c:v>43.7</c:v>
                </c:pt>
                <c:pt idx="396">
                  <c:v>44.1</c:v>
                </c:pt>
                <c:pt idx="397">
                  <c:v>44.5</c:v>
                </c:pt>
                <c:pt idx="398">
                  <c:v>44.8</c:v>
                </c:pt>
                <c:pt idx="399">
                  <c:v>45.2</c:v>
                </c:pt>
                <c:pt idx="400">
                  <c:v>45.6</c:v>
                </c:pt>
                <c:pt idx="401">
                  <c:v>46</c:v>
                </c:pt>
                <c:pt idx="402">
                  <c:v>46.4</c:v>
                </c:pt>
                <c:pt idx="403">
                  <c:v>46.8</c:v>
                </c:pt>
                <c:pt idx="404">
                  <c:v>47.2</c:v>
                </c:pt>
                <c:pt idx="405">
                  <c:v>47.6</c:v>
                </c:pt>
                <c:pt idx="406">
                  <c:v>48.1</c:v>
                </c:pt>
                <c:pt idx="407">
                  <c:v>48.5</c:v>
                </c:pt>
                <c:pt idx="408">
                  <c:v>48.9</c:v>
                </c:pt>
                <c:pt idx="409">
                  <c:v>49.4</c:v>
                </c:pt>
                <c:pt idx="410">
                  <c:v>49.8</c:v>
                </c:pt>
                <c:pt idx="411">
                  <c:v>50.3</c:v>
                </c:pt>
                <c:pt idx="412">
                  <c:v>50.8</c:v>
                </c:pt>
                <c:pt idx="413">
                  <c:v>51.2</c:v>
                </c:pt>
                <c:pt idx="414">
                  <c:v>51.7</c:v>
                </c:pt>
                <c:pt idx="415">
                  <c:v>52.2</c:v>
                </c:pt>
                <c:pt idx="416">
                  <c:v>52.7</c:v>
                </c:pt>
                <c:pt idx="417">
                  <c:v>53.2</c:v>
                </c:pt>
                <c:pt idx="418">
                  <c:v>53.7</c:v>
                </c:pt>
                <c:pt idx="419">
                  <c:v>54.3</c:v>
                </c:pt>
                <c:pt idx="420">
                  <c:v>54.8</c:v>
                </c:pt>
                <c:pt idx="421">
                  <c:v>55.3</c:v>
                </c:pt>
                <c:pt idx="422">
                  <c:v>55.9</c:v>
                </c:pt>
                <c:pt idx="423">
                  <c:v>56.5</c:v>
                </c:pt>
                <c:pt idx="424">
                  <c:v>57</c:v>
                </c:pt>
                <c:pt idx="425">
                  <c:v>57.6</c:v>
                </c:pt>
                <c:pt idx="426">
                  <c:v>58.2</c:v>
                </c:pt>
                <c:pt idx="427">
                  <c:v>58.8</c:v>
                </c:pt>
                <c:pt idx="428">
                  <c:v>59.4</c:v>
                </c:pt>
                <c:pt idx="429">
                  <c:v>60</c:v>
                </c:pt>
                <c:pt idx="430">
                  <c:v>60.7</c:v>
                </c:pt>
                <c:pt idx="431">
                  <c:v>61.3</c:v>
                </c:pt>
                <c:pt idx="432">
                  <c:v>62</c:v>
                </c:pt>
                <c:pt idx="433">
                  <c:v>62.7</c:v>
                </c:pt>
                <c:pt idx="434">
                  <c:v>63.3</c:v>
                </c:pt>
                <c:pt idx="435">
                  <c:v>64</c:v>
                </c:pt>
                <c:pt idx="436">
                  <c:v>64.8</c:v>
                </c:pt>
                <c:pt idx="437">
                  <c:v>65.5</c:v>
                </c:pt>
                <c:pt idx="438">
                  <c:v>66.2</c:v>
                </c:pt>
                <c:pt idx="439">
                  <c:v>67</c:v>
                </c:pt>
                <c:pt idx="440">
                  <c:v>67.7</c:v>
                </c:pt>
                <c:pt idx="441">
                  <c:v>68.5</c:v>
                </c:pt>
                <c:pt idx="442">
                  <c:v>69.3</c:v>
                </c:pt>
                <c:pt idx="443">
                  <c:v>70.099999999999994</c:v>
                </c:pt>
                <c:pt idx="444">
                  <c:v>71</c:v>
                </c:pt>
                <c:pt idx="445">
                  <c:v>71.8</c:v>
                </c:pt>
                <c:pt idx="446">
                  <c:v>72.7</c:v>
                </c:pt>
                <c:pt idx="447">
                  <c:v>73.5</c:v>
                </c:pt>
                <c:pt idx="448">
                  <c:v>74.400000000000006</c:v>
                </c:pt>
                <c:pt idx="449">
                  <c:v>75.3</c:v>
                </c:pt>
                <c:pt idx="450">
                  <c:v>76.3</c:v>
                </c:pt>
                <c:pt idx="451">
                  <c:v>77.2</c:v>
                </c:pt>
                <c:pt idx="452">
                  <c:v>78.2</c:v>
                </c:pt>
                <c:pt idx="453">
                  <c:v>79.2</c:v>
                </c:pt>
                <c:pt idx="454">
                  <c:v>80.2</c:v>
                </c:pt>
                <c:pt idx="455">
                  <c:v>81.2</c:v>
                </c:pt>
                <c:pt idx="456">
                  <c:v>82.3</c:v>
                </c:pt>
                <c:pt idx="457">
                  <c:v>83.4</c:v>
                </c:pt>
                <c:pt idx="458">
                  <c:v>84.5</c:v>
                </c:pt>
                <c:pt idx="459">
                  <c:v>85.6</c:v>
                </c:pt>
                <c:pt idx="460">
                  <c:v>86.8</c:v>
                </c:pt>
                <c:pt idx="461">
                  <c:v>87.9</c:v>
                </c:pt>
                <c:pt idx="462">
                  <c:v>89.1</c:v>
                </c:pt>
                <c:pt idx="463">
                  <c:v>90.4</c:v>
                </c:pt>
                <c:pt idx="464">
                  <c:v>91.6</c:v>
                </c:pt>
                <c:pt idx="465">
                  <c:v>92.9</c:v>
                </c:pt>
                <c:pt idx="466">
                  <c:v>94.2</c:v>
                </c:pt>
                <c:pt idx="467">
                  <c:v>95.6</c:v>
                </c:pt>
                <c:pt idx="468">
                  <c:v>97</c:v>
                </c:pt>
                <c:pt idx="469">
                  <c:v>98.4</c:v>
                </c:pt>
                <c:pt idx="470">
                  <c:v>99.8</c:v>
                </c:pt>
                <c:pt idx="471">
                  <c:v>101.3</c:v>
                </c:pt>
                <c:pt idx="472">
                  <c:v>102.8</c:v>
                </c:pt>
                <c:pt idx="473">
                  <c:v>104.4</c:v>
                </c:pt>
                <c:pt idx="474">
                  <c:v>106</c:v>
                </c:pt>
                <c:pt idx="475">
                  <c:v>107.6</c:v>
                </c:pt>
                <c:pt idx="476">
                  <c:v>109.3</c:v>
                </c:pt>
                <c:pt idx="477">
                  <c:v>111</c:v>
                </c:pt>
                <c:pt idx="478">
                  <c:v>112.8</c:v>
                </c:pt>
                <c:pt idx="479">
                  <c:v>114.6</c:v>
                </c:pt>
                <c:pt idx="480">
                  <c:v>116.4</c:v>
                </c:pt>
                <c:pt idx="481">
                  <c:v>118.3</c:v>
                </c:pt>
                <c:pt idx="482">
                  <c:v>120.3</c:v>
                </c:pt>
                <c:pt idx="483">
                  <c:v>122.3</c:v>
                </c:pt>
                <c:pt idx="484">
                  <c:v>124.4</c:v>
                </c:pt>
                <c:pt idx="485">
                  <c:v>126.5</c:v>
                </c:pt>
                <c:pt idx="486">
                  <c:v>128.69999999999999</c:v>
                </c:pt>
                <c:pt idx="487">
                  <c:v>130.9</c:v>
                </c:pt>
                <c:pt idx="488">
                  <c:v>133.19999999999999</c:v>
                </c:pt>
                <c:pt idx="489">
                  <c:v>135.6</c:v>
                </c:pt>
                <c:pt idx="490">
                  <c:v>138.1</c:v>
                </c:pt>
                <c:pt idx="491">
                  <c:v>140.69999999999999</c:v>
                </c:pt>
                <c:pt idx="492">
                  <c:v>143.30000000000001</c:v>
                </c:pt>
                <c:pt idx="493">
                  <c:v>146.1</c:v>
                </c:pt>
                <c:pt idx="494">
                  <c:v>149</c:v>
                </c:pt>
                <c:pt idx="495">
                  <c:v>151.9</c:v>
                </c:pt>
                <c:pt idx="496">
                  <c:v>155</c:v>
                </c:pt>
                <c:pt idx="497">
                  <c:v>158.1</c:v>
                </c:pt>
                <c:pt idx="498">
                  <c:v>161.4</c:v>
                </c:pt>
                <c:pt idx="499">
                  <c:v>164.8</c:v>
                </c:pt>
                <c:pt idx="500">
                  <c:v>168.4</c:v>
                </c:pt>
                <c:pt idx="501">
                  <c:v>172</c:v>
                </c:pt>
                <c:pt idx="502">
                  <c:v>175.8</c:v>
                </c:pt>
                <c:pt idx="503">
                  <c:v>179.8</c:v>
                </c:pt>
                <c:pt idx="504">
                  <c:v>183.9</c:v>
                </c:pt>
                <c:pt idx="505">
                  <c:v>188.3</c:v>
                </c:pt>
                <c:pt idx="506">
                  <c:v>192.5</c:v>
                </c:pt>
                <c:pt idx="507">
                  <c:v>196.9</c:v>
                </c:pt>
                <c:pt idx="508">
                  <c:v>201.6</c:v>
                </c:pt>
                <c:pt idx="509">
                  <c:v>206.5</c:v>
                </c:pt>
                <c:pt idx="510">
                  <c:v>211.5</c:v>
                </c:pt>
                <c:pt idx="511">
                  <c:v>216.3</c:v>
                </c:pt>
                <c:pt idx="512">
                  <c:v>221</c:v>
                </c:pt>
                <c:pt idx="513">
                  <c:v>226</c:v>
                </c:pt>
                <c:pt idx="514">
                  <c:v>231.1</c:v>
                </c:pt>
                <c:pt idx="515">
                  <c:v>236.4</c:v>
                </c:pt>
                <c:pt idx="516">
                  <c:v>241</c:v>
                </c:pt>
                <c:pt idx="517">
                  <c:v>245.2</c:v>
                </c:pt>
                <c:pt idx="518">
                  <c:v>249.5</c:v>
                </c:pt>
                <c:pt idx="519">
                  <c:v>253.7</c:v>
                </c:pt>
                <c:pt idx="520">
                  <c:v>257.89999999999998</c:v>
                </c:pt>
                <c:pt idx="521">
                  <c:v>261.39999999999998</c:v>
                </c:pt>
                <c:pt idx="522">
                  <c:v>264</c:v>
                </c:pt>
                <c:pt idx="523">
                  <c:v>266.60000000000002</c:v>
                </c:pt>
                <c:pt idx="524">
                  <c:v>269</c:v>
                </c:pt>
                <c:pt idx="525">
                  <c:v>271.2</c:v>
                </c:pt>
                <c:pt idx="526">
                  <c:v>272.89999999999998</c:v>
                </c:pt>
                <c:pt idx="527">
                  <c:v>274.10000000000002</c:v>
                </c:pt>
                <c:pt idx="528">
                  <c:v>275.2</c:v>
                </c:pt>
                <c:pt idx="529">
                  <c:v>276.10000000000002</c:v>
                </c:pt>
                <c:pt idx="530">
                  <c:v>276.89999999999998</c:v>
                </c:pt>
                <c:pt idx="531">
                  <c:v>277.5</c:v>
                </c:pt>
                <c:pt idx="532">
                  <c:v>278</c:v>
                </c:pt>
                <c:pt idx="533">
                  <c:v>278.5</c:v>
                </c:pt>
                <c:pt idx="534">
                  <c:v>278.89999999999998</c:v>
                </c:pt>
                <c:pt idx="535">
                  <c:v>279.2</c:v>
                </c:pt>
                <c:pt idx="536">
                  <c:v>279.5</c:v>
                </c:pt>
                <c:pt idx="537">
                  <c:v>279.8</c:v>
                </c:pt>
                <c:pt idx="538">
                  <c:v>280</c:v>
                </c:pt>
                <c:pt idx="539">
                  <c:v>280.2</c:v>
                </c:pt>
                <c:pt idx="540">
                  <c:v>280.5</c:v>
                </c:pt>
                <c:pt idx="541">
                  <c:v>280.60000000000002</c:v>
                </c:pt>
                <c:pt idx="542">
                  <c:v>280.8</c:v>
                </c:pt>
                <c:pt idx="543">
                  <c:v>281</c:v>
                </c:pt>
                <c:pt idx="544">
                  <c:v>281.10000000000002</c:v>
                </c:pt>
                <c:pt idx="545">
                  <c:v>281.2</c:v>
                </c:pt>
                <c:pt idx="546">
                  <c:v>281.39999999999998</c:v>
                </c:pt>
                <c:pt idx="547">
                  <c:v>281.5</c:v>
                </c:pt>
                <c:pt idx="548">
                  <c:v>281.60000000000002</c:v>
                </c:pt>
                <c:pt idx="549">
                  <c:v>281.60000000000002</c:v>
                </c:pt>
                <c:pt idx="550">
                  <c:v>281.7</c:v>
                </c:pt>
                <c:pt idx="551">
                  <c:v>281.8</c:v>
                </c:pt>
                <c:pt idx="552">
                  <c:v>281.89999999999998</c:v>
                </c:pt>
                <c:pt idx="553">
                  <c:v>281.89999999999998</c:v>
                </c:pt>
                <c:pt idx="554">
                  <c:v>282</c:v>
                </c:pt>
                <c:pt idx="555">
                  <c:v>282</c:v>
                </c:pt>
                <c:pt idx="556">
                  <c:v>282.10000000000002</c:v>
                </c:pt>
                <c:pt idx="557">
                  <c:v>282.10000000000002</c:v>
                </c:pt>
                <c:pt idx="558">
                  <c:v>282.2</c:v>
                </c:pt>
                <c:pt idx="559">
                  <c:v>282.2</c:v>
                </c:pt>
                <c:pt idx="560">
                  <c:v>282.2</c:v>
                </c:pt>
                <c:pt idx="561">
                  <c:v>282.3</c:v>
                </c:pt>
                <c:pt idx="562">
                  <c:v>282.3</c:v>
                </c:pt>
                <c:pt idx="563">
                  <c:v>282.3</c:v>
                </c:pt>
                <c:pt idx="564">
                  <c:v>282.39999999999998</c:v>
                </c:pt>
                <c:pt idx="565">
                  <c:v>282.39999999999998</c:v>
                </c:pt>
                <c:pt idx="566">
                  <c:v>282.39999999999998</c:v>
                </c:pt>
                <c:pt idx="567">
                  <c:v>282.39999999999998</c:v>
                </c:pt>
                <c:pt idx="568">
                  <c:v>282.39999999999998</c:v>
                </c:pt>
                <c:pt idx="569">
                  <c:v>282.5</c:v>
                </c:pt>
                <c:pt idx="570">
                  <c:v>282.5</c:v>
                </c:pt>
                <c:pt idx="571">
                  <c:v>282.5</c:v>
                </c:pt>
                <c:pt idx="572">
                  <c:v>282.5</c:v>
                </c:pt>
                <c:pt idx="573">
                  <c:v>282.5</c:v>
                </c:pt>
                <c:pt idx="574">
                  <c:v>282.5</c:v>
                </c:pt>
                <c:pt idx="575">
                  <c:v>282.5</c:v>
                </c:pt>
                <c:pt idx="576">
                  <c:v>282.60000000000002</c:v>
                </c:pt>
                <c:pt idx="577">
                  <c:v>282.60000000000002</c:v>
                </c:pt>
                <c:pt idx="578">
                  <c:v>282.60000000000002</c:v>
                </c:pt>
                <c:pt idx="579">
                  <c:v>282.60000000000002</c:v>
                </c:pt>
                <c:pt idx="580">
                  <c:v>282.60000000000002</c:v>
                </c:pt>
                <c:pt idx="581">
                  <c:v>282.60000000000002</c:v>
                </c:pt>
                <c:pt idx="582">
                  <c:v>282.60000000000002</c:v>
                </c:pt>
                <c:pt idx="583">
                  <c:v>282.60000000000002</c:v>
                </c:pt>
                <c:pt idx="584">
                  <c:v>282.60000000000002</c:v>
                </c:pt>
                <c:pt idx="585">
                  <c:v>282.60000000000002</c:v>
                </c:pt>
                <c:pt idx="586">
                  <c:v>282.60000000000002</c:v>
                </c:pt>
                <c:pt idx="587">
                  <c:v>282.60000000000002</c:v>
                </c:pt>
                <c:pt idx="588">
                  <c:v>282.60000000000002</c:v>
                </c:pt>
                <c:pt idx="589">
                  <c:v>282.60000000000002</c:v>
                </c:pt>
                <c:pt idx="590">
                  <c:v>282.60000000000002</c:v>
                </c:pt>
                <c:pt idx="591">
                  <c:v>282.7</c:v>
                </c:pt>
                <c:pt idx="592">
                  <c:v>282.7</c:v>
                </c:pt>
                <c:pt idx="593">
                  <c:v>282.7</c:v>
                </c:pt>
                <c:pt idx="594">
                  <c:v>282.7</c:v>
                </c:pt>
                <c:pt idx="595">
                  <c:v>282.7</c:v>
                </c:pt>
                <c:pt idx="596">
                  <c:v>282.7</c:v>
                </c:pt>
                <c:pt idx="597">
                  <c:v>282.7</c:v>
                </c:pt>
                <c:pt idx="598">
                  <c:v>282.7</c:v>
                </c:pt>
                <c:pt idx="599">
                  <c:v>282.7</c:v>
                </c:pt>
                <c:pt idx="600">
                  <c:v>282.60000000000002</c:v>
                </c:pt>
                <c:pt idx="601">
                  <c:v>282.60000000000002</c:v>
                </c:pt>
                <c:pt idx="602">
                  <c:v>282.60000000000002</c:v>
                </c:pt>
                <c:pt idx="603">
                  <c:v>282.60000000000002</c:v>
                </c:pt>
                <c:pt idx="604">
                  <c:v>282.60000000000002</c:v>
                </c:pt>
                <c:pt idx="605">
                  <c:v>282.60000000000002</c:v>
                </c:pt>
                <c:pt idx="606">
                  <c:v>282.60000000000002</c:v>
                </c:pt>
                <c:pt idx="607">
                  <c:v>282.60000000000002</c:v>
                </c:pt>
                <c:pt idx="608">
                  <c:v>282.60000000000002</c:v>
                </c:pt>
                <c:pt idx="609">
                  <c:v>282.60000000000002</c:v>
                </c:pt>
                <c:pt idx="610">
                  <c:v>282.60000000000002</c:v>
                </c:pt>
                <c:pt idx="611">
                  <c:v>282.60000000000002</c:v>
                </c:pt>
                <c:pt idx="612">
                  <c:v>282.60000000000002</c:v>
                </c:pt>
                <c:pt idx="613">
                  <c:v>282.5</c:v>
                </c:pt>
                <c:pt idx="614">
                  <c:v>282.5</c:v>
                </c:pt>
                <c:pt idx="615">
                  <c:v>282.5</c:v>
                </c:pt>
                <c:pt idx="616">
                  <c:v>282.5</c:v>
                </c:pt>
                <c:pt idx="617">
                  <c:v>282.39999999999998</c:v>
                </c:pt>
                <c:pt idx="618">
                  <c:v>282.39999999999998</c:v>
                </c:pt>
                <c:pt idx="619">
                  <c:v>282.39999999999998</c:v>
                </c:pt>
                <c:pt idx="620">
                  <c:v>282.3</c:v>
                </c:pt>
                <c:pt idx="621">
                  <c:v>282.3</c:v>
                </c:pt>
                <c:pt idx="622">
                  <c:v>282.2</c:v>
                </c:pt>
                <c:pt idx="623">
                  <c:v>282.2</c:v>
                </c:pt>
                <c:pt idx="624">
                  <c:v>282.10000000000002</c:v>
                </c:pt>
                <c:pt idx="625">
                  <c:v>282</c:v>
                </c:pt>
                <c:pt idx="626">
                  <c:v>281.89999999999998</c:v>
                </c:pt>
                <c:pt idx="627">
                  <c:v>281.89999999999998</c:v>
                </c:pt>
                <c:pt idx="628">
                  <c:v>281.8</c:v>
                </c:pt>
                <c:pt idx="629">
                  <c:v>281.7</c:v>
                </c:pt>
                <c:pt idx="630">
                  <c:v>281.60000000000002</c:v>
                </c:pt>
                <c:pt idx="631">
                  <c:v>281.5</c:v>
                </c:pt>
                <c:pt idx="632">
                  <c:v>281.39999999999998</c:v>
                </c:pt>
                <c:pt idx="633">
                  <c:v>281.2</c:v>
                </c:pt>
                <c:pt idx="634">
                  <c:v>281.10000000000002</c:v>
                </c:pt>
                <c:pt idx="635">
                  <c:v>281</c:v>
                </c:pt>
                <c:pt idx="636">
                  <c:v>280.8</c:v>
                </c:pt>
                <c:pt idx="637">
                  <c:v>280.60000000000002</c:v>
                </c:pt>
                <c:pt idx="638">
                  <c:v>280.39999999999998</c:v>
                </c:pt>
                <c:pt idx="639">
                  <c:v>280.2</c:v>
                </c:pt>
                <c:pt idx="640">
                  <c:v>280</c:v>
                </c:pt>
                <c:pt idx="641">
                  <c:v>279.7</c:v>
                </c:pt>
                <c:pt idx="642">
                  <c:v>279.5</c:v>
                </c:pt>
                <c:pt idx="643">
                  <c:v>279.2</c:v>
                </c:pt>
                <c:pt idx="644">
                  <c:v>278.8</c:v>
                </c:pt>
                <c:pt idx="645">
                  <c:v>278.39999999999998</c:v>
                </c:pt>
                <c:pt idx="646">
                  <c:v>277.89999999999998</c:v>
                </c:pt>
                <c:pt idx="647">
                  <c:v>277.39999999999998</c:v>
                </c:pt>
                <c:pt idx="648">
                  <c:v>276.8</c:v>
                </c:pt>
                <c:pt idx="649">
                  <c:v>276</c:v>
                </c:pt>
                <c:pt idx="650">
                  <c:v>275</c:v>
                </c:pt>
                <c:pt idx="651">
                  <c:v>273.8</c:v>
                </c:pt>
                <c:pt idx="652">
                  <c:v>272.5</c:v>
                </c:pt>
                <c:pt idx="653">
                  <c:v>271.10000000000002</c:v>
                </c:pt>
                <c:pt idx="654">
                  <c:v>269.10000000000002</c:v>
                </c:pt>
                <c:pt idx="655">
                  <c:v>266.8</c:v>
                </c:pt>
                <c:pt idx="656">
                  <c:v>264.3</c:v>
                </c:pt>
                <c:pt idx="657">
                  <c:v>261.60000000000002</c:v>
                </c:pt>
                <c:pt idx="658">
                  <c:v>259</c:v>
                </c:pt>
                <c:pt idx="659">
                  <c:v>255.7</c:v>
                </c:pt>
                <c:pt idx="660">
                  <c:v>252</c:v>
                </c:pt>
                <c:pt idx="661">
                  <c:v>248.2</c:v>
                </c:pt>
                <c:pt idx="662">
                  <c:v>244.5</c:v>
                </c:pt>
                <c:pt idx="663">
                  <c:v>240.9</c:v>
                </c:pt>
                <c:pt idx="664">
                  <c:v>237.1</c:v>
                </c:pt>
                <c:pt idx="665">
                  <c:v>232.9</c:v>
                </c:pt>
                <c:pt idx="666">
                  <c:v>228.8</c:v>
                </c:pt>
                <c:pt idx="667">
                  <c:v>224.8</c:v>
                </c:pt>
                <c:pt idx="668">
                  <c:v>221</c:v>
                </c:pt>
                <c:pt idx="669">
                  <c:v>217.2</c:v>
                </c:pt>
                <c:pt idx="670">
                  <c:v>213.3</c:v>
                </c:pt>
                <c:pt idx="671">
                  <c:v>209.5</c:v>
                </c:pt>
                <c:pt idx="672">
                  <c:v>205.8</c:v>
                </c:pt>
                <c:pt idx="673">
                  <c:v>202.3</c:v>
                </c:pt>
                <c:pt idx="674">
                  <c:v>199</c:v>
                </c:pt>
                <c:pt idx="675">
                  <c:v>195.6</c:v>
                </c:pt>
                <c:pt idx="676">
                  <c:v>192.3</c:v>
                </c:pt>
                <c:pt idx="677">
                  <c:v>189.1</c:v>
                </c:pt>
                <c:pt idx="678">
                  <c:v>186.1</c:v>
                </c:pt>
                <c:pt idx="679">
                  <c:v>183.2</c:v>
                </c:pt>
                <c:pt idx="680">
                  <c:v>180.3</c:v>
                </c:pt>
                <c:pt idx="681">
                  <c:v>177.5</c:v>
                </c:pt>
                <c:pt idx="682">
                  <c:v>174.8</c:v>
                </c:pt>
                <c:pt idx="683">
                  <c:v>172.2</c:v>
                </c:pt>
                <c:pt idx="684">
                  <c:v>169.7</c:v>
                </c:pt>
                <c:pt idx="685">
                  <c:v>167.2</c:v>
                </c:pt>
                <c:pt idx="686">
                  <c:v>164.9</c:v>
                </c:pt>
                <c:pt idx="687">
                  <c:v>162.6</c:v>
                </c:pt>
                <c:pt idx="688">
                  <c:v>160.4</c:v>
                </c:pt>
                <c:pt idx="689">
                  <c:v>158.19999999999999</c:v>
                </c:pt>
                <c:pt idx="690">
                  <c:v>156.1</c:v>
                </c:pt>
                <c:pt idx="691">
                  <c:v>154.1</c:v>
                </c:pt>
                <c:pt idx="692">
                  <c:v>152.1</c:v>
                </c:pt>
                <c:pt idx="693">
                  <c:v>150.19999999999999</c:v>
                </c:pt>
                <c:pt idx="694">
                  <c:v>148.30000000000001</c:v>
                </c:pt>
                <c:pt idx="695">
                  <c:v>146.5</c:v>
                </c:pt>
                <c:pt idx="696">
                  <c:v>144.69999999999999</c:v>
                </c:pt>
                <c:pt idx="697">
                  <c:v>142.9</c:v>
                </c:pt>
                <c:pt idx="698">
                  <c:v>141.19999999999999</c:v>
                </c:pt>
                <c:pt idx="699">
                  <c:v>139.6</c:v>
                </c:pt>
                <c:pt idx="700">
                  <c:v>137.9</c:v>
                </c:pt>
                <c:pt idx="701">
                  <c:v>136.4</c:v>
                </c:pt>
                <c:pt idx="702">
                  <c:v>134.80000000000001</c:v>
                </c:pt>
                <c:pt idx="703">
                  <c:v>133.30000000000001</c:v>
                </c:pt>
                <c:pt idx="704">
                  <c:v>131.80000000000001</c:v>
                </c:pt>
                <c:pt idx="705">
                  <c:v>130.4</c:v>
                </c:pt>
                <c:pt idx="706">
                  <c:v>129</c:v>
                </c:pt>
                <c:pt idx="707">
                  <c:v>127.6</c:v>
                </c:pt>
                <c:pt idx="708">
                  <c:v>126.3</c:v>
                </c:pt>
                <c:pt idx="709">
                  <c:v>125</c:v>
                </c:pt>
                <c:pt idx="710">
                  <c:v>123.7</c:v>
                </c:pt>
                <c:pt idx="711">
                  <c:v>122.4</c:v>
                </c:pt>
                <c:pt idx="712">
                  <c:v>121.2</c:v>
                </c:pt>
                <c:pt idx="713">
                  <c:v>120</c:v>
                </c:pt>
                <c:pt idx="714">
                  <c:v>118.8</c:v>
                </c:pt>
                <c:pt idx="715">
                  <c:v>117.7</c:v>
                </c:pt>
                <c:pt idx="716">
                  <c:v>116.6</c:v>
                </c:pt>
                <c:pt idx="717">
                  <c:v>115.5</c:v>
                </c:pt>
                <c:pt idx="718">
                  <c:v>114.4</c:v>
                </c:pt>
                <c:pt idx="719">
                  <c:v>113.4</c:v>
                </c:pt>
                <c:pt idx="720">
                  <c:v>112.3</c:v>
                </c:pt>
                <c:pt idx="721">
                  <c:v>111.3</c:v>
                </c:pt>
                <c:pt idx="722">
                  <c:v>110.3</c:v>
                </c:pt>
                <c:pt idx="723">
                  <c:v>109.4</c:v>
                </c:pt>
                <c:pt idx="724">
                  <c:v>108.4</c:v>
                </c:pt>
                <c:pt idx="725">
                  <c:v>107.5</c:v>
                </c:pt>
                <c:pt idx="726">
                  <c:v>106.6</c:v>
                </c:pt>
                <c:pt idx="727">
                  <c:v>105.7</c:v>
                </c:pt>
                <c:pt idx="728">
                  <c:v>104.9</c:v>
                </c:pt>
                <c:pt idx="729">
                  <c:v>104</c:v>
                </c:pt>
                <c:pt idx="730">
                  <c:v>103.2</c:v>
                </c:pt>
                <c:pt idx="731">
                  <c:v>102.4</c:v>
                </c:pt>
                <c:pt idx="732">
                  <c:v>101.6</c:v>
                </c:pt>
                <c:pt idx="733">
                  <c:v>100.8</c:v>
                </c:pt>
                <c:pt idx="734">
                  <c:v>100.1</c:v>
                </c:pt>
                <c:pt idx="735">
                  <c:v>99.3</c:v>
                </c:pt>
                <c:pt idx="736">
                  <c:v>98.6</c:v>
                </c:pt>
                <c:pt idx="737">
                  <c:v>97.9</c:v>
                </c:pt>
                <c:pt idx="738">
                  <c:v>97.2</c:v>
                </c:pt>
                <c:pt idx="739">
                  <c:v>96.5</c:v>
                </c:pt>
                <c:pt idx="740">
                  <c:v>95.8</c:v>
                </c:pt>
                <c:pt idx="741">
                  <c:v>95.2</c:v>
                </c:pt>
                <c:pt idx="742">
                  <c:v>94.5</c:v>
                </c:pt>
                <c:pt idx="743">
                  <c:v>93.9</c:v>
                </c:pt>
                <c:pt idx="744">
                  <c:v>93.3</c:v>
                </c:pt>
                <c:pt idx="745">
                  <c:v>92.6</c:v>
                </c:pt>
                <c:pt idx="746">
                  <c:v>92.1</c:v>
                </c:pt>
                <c:pt idx="747">
                  <c:v>91.5</c:v>
                </c:pt>
                <c:pt idx="748">
                  <c:v>90.9</c:v>
                </c:pt>
                <c:pt idx="749">
                  <c:v>90.3</c:v>
                </c:pt>
                <c:pt idx="750">
                  <c:v>89.8</c:v>
                </c:pt>
                <c:pt idx="751">
                  <c:v>89.2</c:v>
                </c:pt>
                <c:pt idx="752">
                  <c:v>88.7</c:v>
                </c:pt>
                <c:pt idx="753">
                  <c:v>88.2</c:v>
                </c:pt>
                <c:pt idx="754">
                  <c:v>87.7</c:v>
                </c:pt>
                <c:pt idx="755">
                  <c:v>87.2</c:v>
                </c:pt>
                <c:pt idx="756">
                  <c:v>86.7</c:v>
                </c:pt>
                <c:pt idx="757">
                  <c:v>86.2</c:v>
                </c:pt>
                <c:pt idx="758">
                  <c:v>85.7</c:v>
                </c:pt>
                <c:pt idx="759">
                  <c:v>85.3</c:v>
                </c:pt>
                <c:pt idx="760">
                  <c:v>84.8</c:v>
                </c:pt>
                <c:pt idx="761">
                  <c:v>84.4</c:v>
                </c:pt>
                <c:pt idx="762">
                  <c:v>83.9</c:v>
                </c:pt>
                <c:pt idx="763">
                  <c:v>83.5</c:v>
                </c:pt>
                <c:pt idx="764">
                  <c:v>83.1</c:v>
                </c:pt>
                <c:pt idx="765">
                  <c:v>82.7</c:v>
                </c:pt>
                <c:pt idx="766">
                  <c:v>82.3</c:v>
                </c:pt>
                <c:pt idx="767">
                  <c:v>81.900000000000006</c:v>
                </c:pt>
                <c:pt idx="768">
                  <c:v>81.5</c:v>
                </c:pt>
                <c:pt idx="769">
                  <c:v>81.099999999999994</c:v>
                </c:pt>
                <c:pt idx="770">
                  <c:v>80.7</c:v>
                </c:pt>
                <c:pt idx="771">
                  <c:v>80.400000000000006</c:v>
                </c:pt>
                <c:pt idx="772">
                  <c:v>80</c:v>
                </c:pt>
                <c:pt idx="773">
                  <c:v>79.599999999999994</c:v>
                </c:pt>
                <c:pt idx="774">
                  <c:v>79.3</c:v>
                </c:pt>
                <c:pt idx="775">
                  <c:v>78.900000000000006</c:v>
                </c:pt>
                <c:pt idx="776">
                  <c:v>78.599999999999994</c:v>
                </c:pt>
                <c:pt idx="777">
                  <c:v>78.3</c:v>
                </c:pt>
                <c:pt idx="778">
                  <c:v>78</c:v>
                </c:pt>
                <c:pt idx="779">
                  <c:v>77.599999999999994</c:v>
                </c:pt>
                <c:pt idx="780">
                  <c:v>77.3</c:v>
                </c:pt>
                <c:pt idx="781">
                  <c:v>77</c:v>
                </c:pt>
                <c:pt idx="782">
                  <c:v>76.7</c:v>
                </c:pt>
                <c:pt idx="783">
                  <c:v>76.400000000000006</c:v>
                </c:pt>
                <c:pt idx="784">
                  <c:v>76.099999999999994</c:v>
                </c:pt>
                <c:pt idx="785">
                  <c:v>75.900000000000006</c:v>
                </c:pt>
                <c:pt idx="786">
                  <c:v>75.599999999999994</c:v>
                </c:pt>
                <c:pt idx="787">
                  <c:v>75.3</c:v>
                </c:pt>
                <c:pt idx="788">
                  <c:v>75</c:v>
                </c:pt>
                <c:pt idx="789">
                  <c:v>74.8</c:v>
                </c:pt>
                <c:pt idx="790">
                  <c:v>74.5</c:v>
                </c:pt>
                <c:pt idx="791">
                  <c:v>74.3</c:v>
                </c:pt>
                <c:pt idx="792">
                  <c:v>74</c:v>
                </c:pt>
                <c:pt idx="793">
                  <c:v>73.8</c:v>
                </c:pt>
                <c:pt idx="794">
                  <c:v>73.5</c:v>
                </c:pt>
                <c:pt idx="795">
                  <c:v>73.3</c:v>
                </c:pt>
                <c:pt idx="796">
                  <c:v>73.099999999999994</c:v>
                </c:pt>
                <c:pt idx="797">
                  <c:v>72.900000000000006</c:v>
                </c:pt>
                <c:pt idx="798">
                  <c:v>72.599999999999994</c:v>
                </c:pt>
                <c:pt idx="799">
                  <c:v>72.400000000000006</c:v>
                </c:pt>
                <c:pt idx="800">
                  <c:v>72.2</c:v>
                </c:pt>
                <c:pt idx="801">
                  <c:v>72</c:v>
                </c:pt>
                <c:pt idx="802">
                  <c:v>71.8</c:v>
                </c:pt>
                <c:pt idx="803">
                  <c:v>71.599999999999994</c:v>
                </c:pt>
                <c:pt idx="804">
                  <c:v>71.400000000000006</c:v>
                </c:pt>
                <c:pt idx="805">
                  <c:v>71.2</c:v>
                </c:pt>
                <c:pt idx="806">
                  <c:v>71</c:v>
                </c:pt>
                <c:pt idx="807">
                  <c:v>70.8</c:v>
                </c:pt>
                <c:pt idx="808">
                  <c:v>70.599999999999994</c:v>
                </c:pt>
                <c:pt idx="809">
                  <c:v>70.5</c:v>
                </c:pt>
                <c:pt idx="810">
                  <c:v>70.3</c:v>
                </c:pt>
                <c:pt idx="811">
                  <c:v>70.099999999999994</c:v>
                </c:pt>
                <c:pt idx="812">
                  <c:v>69.900000000000006</c:v>
                </c:pt>
                <c:pt idx="813">
                  <c:v>69.8</c:v>
                </c:pt>
                <c:pt idx="814">
                  <c:v>69.599999999999994</c:v>
                </c:pt>
                <c:pt idx="815">
                  <c:v>69.5</c:v>
                </c:pt>
                <c:pt idx="816">
                  <c:v>69.3</c:v>
                </c:pt>
                <c:pt idx="817">
                  <c:v>69.2</c:v>
                </c:pt>
                <c:pt idx="818">
                  <c:v>69</c:v>
                </c:pt>
                <c:pt idx="819">
                  <c:v>68.900000000000006</c:v>
                </c:pt>
                <c:pt idx="820">
                  <c:v>68.7</c:v>
                </c:pt>
                <c:pt idx="821">
                  <c:v>68.599999999999994</c:v>
                </c:pt>
                <c:pt idx="822">
                  <c:v>68.400000000000006</c:v>
                </c:pt>
                <c:pt idx="823">
                  <c:v>68.3</c:v>
                </c:pt>
                <c:pt idx="824">
                  <c:v>68.2</c:v>
                </c:pt>
                <c:pt idx="825">
                  <c:v>68</c:v>
                </c:pt>
                <c:pt idx="826">
                  <c:v>67.900000000000006</c:v>
                </c:pt>
                <c:pt idx="827">
                  <c:v>67.8</c:v>
                </c:pt>
                <c:pt idx="828">
                  <c:v>67.7</c:v>
                </c:pt>
                <c:pt idx="829">
                  <c:v>67.599999999999994</c:v>
                </c:pt>
                <c:pt idx="830">
                  <c:v>67.400000000000006</c:v>
                </c:pt>
                <c:pt idx="831">
                  <c:v>67.3</c:v>
                </c:pt>
                <c:pt idx="832">
                  <c:v>67.2</c:v>
                </c:pt>
                <c:pt idx="833">
                  <c:v>67.099999999999994</c:v>
                </c:pt>
                <c:pt idx="834">
                  <c:v>67</c:v>
                </c:pt>
                <c:pt idx="835">
                  <c:v>66.900000000000006</c:v>
                </c:pt>
                <c:pt idx="836">
                  <c:v>66.8</c:v>
                </c:pt>
                <c:pt idx="837">
                  <c:v>66.7</c:v>
                </c:pt>
                <c:pt idx="838">
                  <c:v>66.599999999999994</c:v>
                </c:pt>
                <c:pt idx="839">
                  <c:v>66.5</c:v>
                </c:pt>
                <c:pt idx="840">
                  <c:v>66.400000000000006</c:v>
                </c:pt>
                <c:pt idx="841">
                  <c:v>66.3</c:v>
                </c:pt>
                <c:pt idx="842">
                  <c:v>66.2</c:v>
                </c:pt>
                <c:pt idx="843">
                  <c:v>66.099999999999994</c:v>
                </c:pt>
                <c:pt idx="844">
                  <c:v>66.099999999999994</c:v>
                </c:pt>
                <c:pt idx="845">
                  <c:v>66</c:v>
                </c:pt>
                <c:pt idx="846">
                  <c:v>65.900000000000006</c:v>
                </c:pt>
                <c:pt idx="847">
                  <c:v>65.8</c:v>
                </c:pt>
                <c:pt idx="848">
                  <c:v>65.8</c:v>
                </c:pt>
                <c:pt idx="849">
                  <c:v>65.7</c:v>
                </c:pt>
                <c:pt idx="850">
                  <c:v>65.599999999999994</c:v>
                </c:pt>
                <c:pt idx="851">
                  <c:v>65.5</c:v>
                </c:pt>
                <c:pt idx="852">
                  <c:v>65.5</c:v>
                </c:pt>
                <c:pt idx="853">
                  <c:v>65.400000000000006</c:v>
                </c:pt>
                <c:pt idx="854">
                  <c:v>65.3</c:v>
                </c:pt>
                <c:pt idx="855">
                  <c:v>65.3</c:v>
                </c:pt>
                <c:pt idx="856">
                  <c:v>65.2</c:v>
                </c:pt>
                <c:pt idx="857">
                  <c:v>65.2</c:v>
                </c:pt>
                <c:pt idx="858">
                  <c:v>65.099999999999994</c:v>
                </c:pt>
                <c:pt idx="859">
                  <c:v>65.099999999999994</c:v>
                </c:pt>
                <c:pt idx="860">
                  <c:v>65</c:v>
                </c:pt>
                <c:pt idx="861">
                  <c:v>64.900000000000006</c:v>
                </c:pt>
                <c:pt idx="862">
                  <c:v>64.900000000000006</c:v>
                </c:pt>
                <c:pt idx="863">
                  <c:v>64.8</c:v>
                </c:pt>
                <c:pt idx="864">
                  <c:v>64.8</c:v>
                </c:pt>
                <c:pt idx="865">
                  <c:v>64.8</c:v>
                </c:pt>
                <c:pt idx="866">
                  <c:v>64.7</c:v>
                </c:pt>
                <c:pt idx="867">
                  <c:v>64.7</c:v>
                </c:pt>
                <c:pt idx="868">
                  <c:v>64.599999999999994</c:v>
                </c:pt>
                <c:pt idx="869">
                  <c:v>64.599999999999994</c:v>
                </c:pt>
                <c:pt idx="870">
                  <c:v>64.599999999999994</c:v>
                </c:pt>
                <c:pt idx="871">
                  <c:v>64.5</c:v>
                </c:pt>
                <c:pt idx="872">
                  <c:v>64.5</c:v>
                </c:pt>
                <c:pt idx="873">
                  <c:v>64.5</c:v>
                </c:pt>
                <c:pt idx="874">
                  <c:v>64.400000000000006</c:v>
                </c:pt>
                <c:pt idx="875">
                  <c:v>64.400000000000006</c:v>
                </c:pt>
                <c:pt idx="876">
                  <c:v>64.400000000000006</c:v>
                </c:pt>
                <c:pt idx="877">
                  <c:v>64.3</c:v>
                </c:pt>
                <c:pt idx="878">
                  <c:v>64.3</c:v>
                </c:pt>
                <c:pt idx="879">
                  <c:v>64.3</c:v>
                </c:pt>
                <c:pt idx="880">
                  <c:v>64.3</c:v>
                </c:pt>
                <c:pt idx="881">
                  <c:v>64.3</c:v>
                </c:pt>
                <c:pt idx="882">
                  <c:v>64.2</c:v>
                </c:pt>
                <c:pt idx="883">
                  <c:v>64.2</c:v>
                </c:pt>
                <c:pt idx="884">
                  <c:v>64.2</c:v>
                </c:pt>
                <c:pt idx="885">
                  <c:v>64.2</c:v>
                </c:pt>
                <c:pt idx="886">
                  <c:v>64.2</c:v>
                </c:pt>
                <c:pt idx="887">
                  <c:v>64.2</c:v>
                </c:pt>
                <c:pt idx="888">
                  <c:v>64.2</c:v>
                </c:pt>
                <c:pt idx="889">
                  <c:v>64.099999999999994</c:v>
                </c:pt>
                <c:pt idx="890">
                  <c:v>64.099999999999994</c:v>
                </c:pt>
                <c:pt idx="891">
                  <c:v>64.099999999999994</c:v>
                </c:pt>
                <c:pt idx="892">
                  <c:v>64.099999999999994</c:v>
                </c:pt>
                <c:pt idx="893">
                  <c:v>64.099999999999994</c:v>
                </c:pt>
                <c:pt idx="894">
                  <c:v>64.099999999999994</c:v>
                </c:pt>
                <c:pt idx="895">
                  <c:v>64.099999999999994</c:v>
                </c:pt>
                <c:pt idx="896">
                  <c:v>64.099999999999994</c:v>
                </c:pt>
                <c:pt idx="897">
                  <c:v>64.099999999999994</c:v>
                </c:pt>
                <c:pt idx="898">
                  <c:v>64.099999999999994</c:v>
                </c:pt>
                <c:pt idx="899">
                  <c:v>64.099999999999994</c:v>
                </c:pt>
                <c:pt idx="900">
                  <c:v>64.099999999999994</c:v>
                </c:pt>
                <c:pt idx="901">
                  <c:v>64.099999999999994</c:v>
                </c:pt>
                <c:pt idx="902">
                  <c:v>64.099999999999994</c:v>
                </c:pt>
                <c:pt idx="903">
                  <c:v>64.099999999999994</c:v>
                </c:pt>
                <c:pt idx="904">
                  <c:v>64.099999999999994</c:v>
                </c:pt>
                <c:pt idx="905">
                  <c:v>64.2</c:v>
                </c:pt>
                <c:pt idx="906">
                  <c:v>64.2</c:v>
                </c:pt>
                <c:pt idx="907">
                  <c:v>64.2</c:v>
                </c:pt>
                <c:pt idx="908">
                  <c:v>64.2</c:v>
                </c:pt>
                <c:pt idx="909">
                  <c:v>64.2</c:v>
                </c:pt>
                <c:pt idx="910">
                  <c:v>64.2</c:v>
                </c:pt>
                <c:pt idx="911">
                  <c:v>64.2</c:v>
                </c:pt>
                <c:pt idx="912">
                  <c:v>64.3</c:v>
                </c:pt>
                <c:pt idx="913">
                  <c:v>64.3</c:v>
                </c:pt>
                <c:pt idx="914">
                  <c:v>64.3</c:v>
                </c:pt>
                <c:pt idx="915">
                  <c:v>64.3</c:v>
                </c:pt>
                <c:pt idx="916">
                  <c:v>64.3</c:v>
                </c:pt>
                <c:pt idx="917">
                  <c:v>64.400000000000006</c:v>
                </c:pt>
                <c:pt idx="918">
                  <c:v>64.400000000000006</c:v>
                </c:pt>
                <c:pt idx="919">
                  <c:v>64.400000000000006</c:v>
                </c:pt>
                <c:pt idx="920">
                  <c:v>64.400000000000006</c:v>
                </c:pt>
                <c:pt idx="921">
                  <c:v>64.5</c:v>
                </c:pt>
                <c:pt idx="922">
                  <c:v>64.5</c:v>
                </c:pt>
                <c:pt idx="923">
                  <c:v>64.5</c:v>
                </c:pt>
                <c:pt idx="924">
                  <c:v>64.599999999999994</c:v>
                </c:pt>
                <c:pt idx="925">
                  <c:v>64.599999999999994</c:v>
                </c:pt>
                <c:pt idx="926">
                  <c:v>64.599999999999994</c:v>
                </c:pt>
                <c:pt idx="927">
                  <c:v>64.7</c:v>
                </c:pt>
                <c:pt idx="928">
                  <c:v>64.7</c:v>
                </c:pt>
                <c:pt idx="929">
                  <c:v>64.7</c:v>
                </c:pt>
                <c:pt idx="930">
                  <c:v>64.8</c:v>
                </c:pt>
                <c:pt idx="931">
                  <c:v>64.8</c:v>
                </c:pt>
                <c:pt idx="932">
                  <c:v>64.8</c:v>
                </c:pt>
                <c:pt idx="933">
                  <c:v>64.900000000000006</c:v>
                </c:pt>
                <c:pt idx="934">
                  <c:v>64.900000000000006</c:v>
                </c:pt>
                <c:pt idx="935">
                  <c:v>65</c:v>
                </c:pt>
                <c:pt idx="936">
                  <c:v>65</c:v>
                </c:pt>
                <c:pt idx="937">
                  <c:v>65.099999999999994</c:v>
                </c:pt>
                <c:pt idx="938">
                  <c:v>65.099999999999994</c:v>
                </c:pt>
                <c:pt idx="939">
                  <c:v>65.099999999999994</c:v>
                </c:pt>
                <c:pt idx="940">
                  <c:v>65.2</c:v>
                </c:pt>
                <c:pt idx="941">
                  <c:v>65.2</c:v>
                </c:pt>
                <c:pt idx="942">
                  <c:v>65.3</c:v>
                </c:pt>
                <c:pt idx="943">
                  <c:v>65.3</c:v>
                </c:pt>
                <c:pt idx="944">
                  <c:v>65.400000000000006</c:v>
                </c:pt>
                <c:pt idx="945">
                  <c:v>65.400000000000006</c:v>
                </c:pt>
                <c:pt idx="946">
                  <c:v>65.5</c:v>
                </c:pt>
                <c:pt idx="947">
                  <c:v>65.599999999999994</c:v>
                </c:pt>
                <c:pt idx="948">
                  <c:v>65.599999999999994</c:v>
                </c:pt>
                <c:pt idx="949">
                  <c:v>65.7</c:v>
                </c:pt>
                <c:pt idx="950">
                  <c:v>65.7</c:v>
                </c:pt>
                <c:pt idx="951">
                  <c:v>65.8</c:v>
                </c:pt>
                <c:pt idx="952">
                  <c:v>65.8</c:v>
                </c:pt>
                <c:pt idx="953">
                  <c:v>65.900000000000006</c:v>
                </c:pt>
                <c:pt idx="954">
                  <c:v>66</c:v>
                </c:pt>
                <c:pt idx="955">
                  <c:v>66</c:v>
                </c:pt>
                <c:pt idx="956">
                  <c:v>66.099999999999994</c:v>
                </c:pt>
                <c:pt idx="957">
                  <c:v>66.2</c:v>
                </c:pt>
                <c:pt idx="958">
                  <c:v>66.2</c:v>
                </c:pt>
                <c:pt idx="959">
                  <c:v>66.3</c:v>
                </c:pt>
                <c:pt idx="960">
                  <c:v>66.400000000000006</c:v>
                </c:pt>
                <c:pt idx="961">
                  <c:v>66.400000000000006</c:v>
                </c:pt>
                <c:pt idx="962">
                  <c:v>66.5</c:v>
                </c:pt>
                <c:pt idx="963">
                  <c:v>66.599999999999994</c:v>
                </c:pt>
                <c:pt idx="964">
                  <c:v>66.7</c:v>
                </c:pt>
                <c:pt idx="965">
                  <c:v>66.7</c:v>
                </c:pt>
                <c:pt idx="966">
                  <c:v>66.8</c:v>
                </c:pt>
                <c:pt idx="967">
                  <c:v>66.900000000000006</c:v>
                </c:pt>
                <c:pt idx="968">
                  <c:v>67</c:v>
                </c:pt>
                <c:pt idx="969">
                  <c:v>67</c:v>
                </c:pt>
                <c:pt idx="970">
                  <c:v>67.099999999999994</c:v>
                </c:pt>
                <c:pt idx="971">
                  <c:v>67.2</c:v>
                </c:pt>
                <c:pt idx="972">
                  <c:v>67.3</c:v>
                </c:pt>
                <c:pt idx="973">
                  <c:v>67.400000000000006</c:v>
                </c:pt>
                <c:pt idx="974">
                  <c:v>67.5</c:v>
                </c:pt>
                <c:pt idx="975">
                  <c:v>67.5</c:v>
                </c:pt>
                <c:pt idx="976">
                  <c:v>67.599999999999994</c:v>
                </c:pt>
                <c:pt idx="977">
                  <c:v>67.7</c:v>
                </c:pt>
                <c:pt idx="978">
                  <c:v>67.8</c:v>
                </c:pt>
                <c:pt idx="979">
                  <c:v>67.900000000000006</c:v>
                </c:pt>
                <c:pt idx="980">
                  <c:v>68</c:v>
                </c:pt>
                <c:pt idx="981">
                  <c:v>68.099999999999994</c:v>
                </c:pt>
                <c:pt idx="982">
                  <c:v>68.2</c:v>
                </c:pt>
                <c:pt idx="983">
                  <c:v>68.3</c:v>
                </c:pt>
                <c:pt idx="984">
                  <c:v>68.400000000000006</c:v>
                </c:pt>
                <c:pt idx="985">
                  <c:v>68.5</c:v>
                </c:pt>
                <c:pt idx="986">
                  <c:v>68.599999999999994</c:v>
                </c:pt>
                <c:pt idx="987">
                  <c:v>68.7</c:v>
                </c:pt>
                <c:pt idx="988">
                  <c:v>68.8</c:v>
                </c:pt>
                <c:pt idx="989">
                  <c:v>68.900000000000006</c:v>
                </c:pt>
                <c:pt idx="990">
                  <c:v>69</c:v>
                </c:pt>
                <c:pt idx="991">
                  <c:v>69.099999999999994</c:v>
                </c:pt>
                <c:pt idx="992">
                  <c:v>69.2</c:v>
                </c:pt>
                <c:pt idx="993">
                  <c:v>69.3</c:v>
                </c:pt>
                <c:pt idx="994">
                  <c:v>69.400000000000006</c:v>
                </c:pt>
                <c:pt idx="995">
                  <c:v>69.5</c:v>
                </c:pt>
                <c:pt idx="996">
                  <c:v>69.599999999999994</c:v>
                </c:pt>
                <c:pt idx="997">
                  <c:v>69.8</c:v>
                </c:pt>
                <c:pt idx="998">
                  <c:v>69.900000000000006</c:v>
                </c:pt>
                <c:pt idx="999">
                  <c:v>70</c:v>
                </c:pt>
                <c:pt idx="1000">
                  <c:v>70.099999999999994</c:v>
                </c:pt>
                <c:pt idx="1001">
                  <c:v>70.2</c:v>
                </c:pt>
                <c:pt idx="1002">
                  <c:v>70.400000000000006</c:v>
                </c:pt>
                <c:pt idx="1003">
                  <c:v>70.5</c:v>
                </c:pt>
                <c:pt idx="1004">
                  <c:v>70.599999999999994</c:v>
                </c:pt>
                <c:pt idx="1005">
                  <c:v>70.8</c:v>
                </c:pt>
                <c:pt idx="1006">
                  <c:v>70.900000000000006</c:v>
                </c:pt>
                <c:pt idx="1007">
                  <c:v>71</c:v>
                </c:pt>
                <c:pt idx="1008">
                  <c:v>71.099999999999994</c:v>
                </c:pt>
                <c:pt idx="1009">
                  <c:v>71.3</c:v>
                </c:pt>
                <c:pt idx="1010">
                  <c:v>71.400000000000006</c:v>
                </c:pt>
                <c:pt idx="1011">
                  <c:v>71.599999999999994</c:v>
                </c:pt>
                <c:pt idx="1012">
                  <c:v>71.7</c:v>
                </c:pt>
                <c:pt idx="1013">
                  <c:v>71.900000000000006</c:v>
                </c:pt>
                <c:pt idx="1014">
                  <c:v>72</c:v>
                </c:pt>
                <c:pt idx="1015">
                  <c:v>72.099999999999994</c:v>
                </c:pt>
                <c:pt idx="1016">
                  <c:v>72.3</c:v>
                </c:pt>
                <c:pt idx="1017">
                  <c:v>72.400000000000006</c:v>
                </c:pt>
                <c:pt idx="1018">
                  <c:v>72.599999999999994</c:v>
                </c:pt>
                <c:pt idx="1019">
                  <c:v>72.8</c:v>
                </c:pt>
                <c:pt idx="1020">
                  <c:v>72.900000000000006</c:v>
                </c:pt>
                <c:pt idx="1021">
                  <c:v>73.099999999999994</c:v>
                </c:pt>
                <c:pt idx="1022">
                  <c:v>73.2</c:v>
                </c:pt>
                <c:pt idx="1023">
                  <c:v>73.400000000000006</c:v>
                </c:pt>
                <c:pt idx="1024">
                  <c:v>73.599999999999994</c:v>
                </c:pt>
                <c:pt idx="1025">
                  <c:v>73.7</c:v>
                </c:pt>
                <c:pt idx="1026">
                  <c:v>73.900000000000006</c:v>
                </c:pt>
                <c:pt idx="1027">
                  <c:v>74.099999999999994</c:v>
                </c:pt>
                <c:pt idx="1028">
                  <c:v>74.3</c:v>
                </c:pt>
                <c:pt idx="1029">
                  <c:v>74.5</c:v>
                </c:pt>
                <c:pt idx="1030">
                  <c:v>74.599999999999994</c:v>
                </c:pt>
                <c:pt idx="1031">
                  <c:v>74.8</c:v>
                </c:pt>
                <c:pt idx="1032">
                  <c:v>75</c:v>
                </c:pt>
                <c:pt idx="1033">
                  <c:v>75.2</c:v>
                </c:pt>
                <c:pt idx="1034">
                  <c:v>75.400000000000006</c:v>
                </c:pt>
                <c:pt idx="1035">
                  <c:v>75.599999999999994</c:v>
                </c:pt>
                <c:pt idx="1036">
                  <c:v>75.8</c:v>
                </c:pt>
                <c:pt idx="1037">
                  <c:v>76</c:v>
                </c:pt>
                <c:pt idx="1038">
                  <c:v>76.2</c:v>
                </c:pt>
                <c:pt idx="1039">
                  <c:v>76.400000000000006</c:v>
                </c:pt>
                <c:pt idx="1040">
                  <c:v>76.7</c:v>
                </c:pt>
                <c:pt idx="1041">
                  <c:v>76.900000000000006</c:v>
                </c:pt>
                <c:pt idx="1042">
                  <c:v>77.099999999999994</c:v>
                </c:pt>
                <c:pt idx="1043">
                  <c:v>77.3</c:v>
                </c:pt>
                <c:pt idx="1044">
                  <c:v>77.599999999999994</c:v>
                </c:pt>
                <c:pt idx="1045">
                  <c:v>77.8</c:v>
                </c:pt>
                <c:pt idx="1046">
                  <c:v>78</c:v>
                </c:pt>
                <c:pt idx="1047">
                  <c:v>78.3</c:v>
                </c:pt>
                <c:pt idx="1048">
                  <c:v>78.5</c:v>
                </c:pt>
                <c:pt idx="1049">
                  <c:v>78.8</c:v>
                </c:pt>
                <c:pt idx="1050">
                  <c:v>79</c:v>
                </c:pt>
                <c:pt idx="1051">
                  <c:v>79.3</c:v>
                </c:pt>
                <c:pt idx="1052">
                  <c:v>79.599999999999994</c:v>
                </c:pt>
                <c:pt idx="1053">
                  <c:v>79.8</c:v>
                </c:pt>
                <c:pt idx="1054">
                  <c:v>80.099999999999994</c:v>
                </c:pt>
                <c:pt idx="1055">
                  <c:v>80.400000000000006</c:v>
                </c:pt>
                <c:pt idx="1056">
                  <c:v>80.7</c:v>
                </c:pt>
                <c:pt idx="1057">
                  <c:v>81</c:v>
                </c:pt>
                <c:pt idx="1058">
                  <c:v>81.3</c:v>
                </c:pt>
                <c:pt idx="1059">
                  <c:v>81.599999999999994</c:v>
                </c:pt>
                <c:pt idx="1060">
                  <c:v>81.900000000000006</c:v>
                </c:pt>
                <c:pt idx="1061">
                  <c:v>82.2</c:v>
                </c:pt>
                <c:pt idx="1062">
                  <c:v>82.5</c:v>
                </c:pt>
                <c:pt idx="1063">
                  <c:v>82.8</c:v>
                </c:pt>
                <c:pt idx="1064">
                  <c:v>83.2</c:v>
                </c:pt>
                <c:pt idx="1065">
                  <c:v>83.5</c:v>
                </c:pt>
                <c:pt idx="1066">
                  <c:v>83.9</c:v>
                </c:pt>
                <c:pt idx="1067">
                  <c:v>84.2</c:v>
                </c:pt>
                <c:pt idx="1068">
                  <c:v>84.6</c:v>
                </c:pt>
                <c:pt idx="1069">
                  <c:v>84.9</c:v>
                </c:pt>
                <c:pt idx="1070">
                  <c:v>85.3</c:v>
                </c:pt>
                <c:pt idx="1071">
                  <c:v>85.7</c:v>
                </c:pt>
                <c:pt idx="1072">
                  <c:v>86.1</c:v>
                </c:pt>
                <c:pt idx="1073">
                  <c:v>86.5</c:v>
                </c:pt>
                <c:pt idx="1074">
                  <c:v>86.9</c:v>
                </c:pt>
                <c:pt idx="1075">
                  <c:v>87.4</c:v>
                </c:pt>
                <c:pt idx="1076">
                  <c:v>87.8</c:v>
                </c:pt>
                <c:pt idx="1077">
                  <c:v>88.2</c:v>
                </c:pt>
                <c:pt idx="1078">
                  <c:v>88.7</c:v>
                </c:pt>
                <c:pt idx="1079">
                  <c:v>89.2</c:v>
                </c:pt>
                <c:pt idx="1080">
                  <c:v>89.6</c:v>
                </c:pt>
                <c:pt idx="1081">
                  <c:v>90.1</c:v>
                </c:pt>
                <c:pt idx="1082">
                  <c:v>90.6</c:v>
                </c:pt>
                <c:pt idx="1083">
                  <c:v>91.1</c:v>
                </c:pt>
                <c:pt idx="1084">
                  <c:v>91.7</c:v>
                </c:pt>
                <c:pt idx="1085">
                  <c:v>92.2</c:v>
                </c:pt>
                <c:pt idx="1086">
                  <c:v>92.8</c:v>
                </c:pt>
                <c:pt idx="1087">
                  <c:v>93.3</c:v>
                </c:pt>
                <c:pt idx="1088">
                  <c:v>93.9</c:v>
                </c:pt>
                <c:pt idx="1089">
                  <c:v>94.5</c:v>
                </c:pt>
                <c:pt idx="1090">
                  <c:v>95.1</c:v>
                </c:pt>
                <c:pt idx="1091">
                  <c:v>95.8</c:v>
                </c:pt>
                <c:pt idx="1092">
                  <c:v>96.4</c:v>
                </c:pt>
                <c:pt idx="1093">
                  <c:v>97.1</c:v>
                </c:pt>
                <c:pt idx="1094">
                  <c:v>97.8</c:v>
                </c:pt>
                <c:pt idx="1095">
                  <c:v>98.5</c:v>
                </c:pt>
                <c:pt idx="1096">
                  <c:v>99.2</c:v>
                </c:pt>
                <c:pt idx="1097">
                  <c:v>100</c:v>
                </c:pt>
                <c:pt idx="1098">
                  <c:v>100.8</c:v>
                </c:pt>
                <c:pt idx="1099">
                  <c:v>101.6</c:v>
                </c:pt>
                <c:pt idx="1100">
                  <c:v>102.4</c:v>
                </c:pt>
                <c:pt idx="1101">
                  <c:v>103.2</c:v>
                </c:pt>
                <c:pt idx="1102">
                  <c:v>104.1</c:v>
                </c:pt>
                <c:pt idx="1103">
                  <c:v>105</c:v>
                </c:pt>
                <c:pt idx="1104">
                  <c:v>105.9</c:v>
                </c:pt>
                <c:pt idx="1105">
                  <c:v>106.9</c:v>
                </c:pt>
                <c:pt idx="1106">
                  <c:v>107.9</c:v>
                </c:pt>
                <c:pt idx="1107">
                  <c:v>108.9</c:v>
                </c:pt>
                <c:pt idx="1108">
                  <c:v>110</c:v>
                </c:pt>
                <c:pt idx="1109">
                  <c:v>111.1</c:v>
                </c:pt>
                <c:pt idx="1110">
                  <c:v>112.2</c:v>
                </c:pt>
                <c:pt idx="1111">
                  <c:v>113.4</c:v>
                </c:pt>
                <c:pt idx="1112">
                  <c:v>114.6</c:v>
                </c:pt>
                <c:pt idx="1113">
                  <c:v>115.9</c:v>
                </c:pt>
                <c:pt idx="1114">
                  <c:v>117.2</c:v>
                </c:pt>
                <c:pt idx="1115">
                  <c:v>118.5</c:v>
                </c:pt>
                <c:pt idx="1116">
                  <c:v>119.9</c:v>
                </c:pt>
                <c:pt idx="1117">
                  <c:v>121.4</c:v>
                </c:pt>
                <c:pt idx="1118">
                  <c:v>122.9</c:v>
                </c:pt>
                <c:pt idx="1119">
                  <c:v>124.4</c:v>
                </c:pt>
                <c:pt idx="1120">
                  <c:v>126.1</c:v>
                </c:pt>
                <c:pt idx="1121">
                  <c:v>127.7</c:v>
                </c:pt>
                <c:pt idx="1122">
                  <c:v>129.5</c:v>
                </c:pt>
                <c:pt idx="1123">
                  <c:v>131.30000000000001</c:v>
                </c:pt>
                <c:pt idx="1124">
                  <c:v>133.19999999999999</c:v>
                </c:pt>
                <c:pt idx="1125">
                  <c:v>135.19999999999999</c:v>
                </c:pt>
                <c:pt idx="1126">
                  <c:v>137.19999999999999</c:v>
                </c:pt>
                <c:pt idx="1127">
                  <c:v>139.30000000000001</c:v>
                </c:pt>
                <c:pt idx="1128">
                  <c:v>141.5</c:v>
                </c:pt>
                <c:pt idx="1129">
                  <c:v>143.80000000000001</c:v>
                </c:pt>
                <c:pt idx="1130">
                  <c:v>146.19999999999999</c:v>
                </c:pt>
                <c:pt idx="1131">
                  <c:v>148.69999999999999</c:v>
                </c:pt>
                <c:pt idx="1132">
                  <c:v>151.19999999999999</c:v>
                </c:pt>
                <c:pt idx="1133">
                  <c:v>153.9</c:v>
                </c:pt>
                <c:pt idx="1134">
                  <c:v>156.69999999999999</c:v>
                </c:pt>
                <c:pt idx="1135">
                  <c:v>159.6</c:v>
                </c:pt>
                <c:pt idx="1136">
                  <c:v>162.6</c:v>
                </c:pt>
                <c:pt idx="1137">
                  <c:v>165.8</c:v>
                </c:pt>
                <c:pt idx="1138">
                  <c:v>169</c:v>
                </c:pt>
                <c:pt idx="1139">
                  <c:v>172.4</c:v>
                </c:pt>
                <c:pt idx="1140">
                  <c:v>175.9</c:v>
                </c:pt>
                <c:pt idx="1141">
                  <c:v>179.6</c:v>
                </c:pt>
                <c:pt idx="1142">
                  <c:v>183.3</c:v>
                </c:pt>
                <c:pt idx="1143">
                  <c:v>187.2</c:v>
                </c:pt>
                <c:pt idx="1144">
                  <c:v>191.3</c:v>
                </c:pt>
                <c:pt idx="1145">
                  <c:v>195.4</c:v>
                </c:pt>
                <c:pt idx="1146">
                  <c:v>199.7</c:v>
                </c:pt>
                <c:pt idx="1147">
                  <c:v>204</c:v>
                </c:pt>
                <c:pt idx="1148">
                  <c:v>208.5</c:v>
                </c:pt>
                <c:pt idx="1149">
                  <c:v>213.1</c:v>
                </c:pt>
                <c:pt idx="1150">
                  <c:v>217.7</c:v>
                </c:pt>
                <c:pt idx="1151">
                  <c:v>222.4</c:v>
                </c:pt>
                <c:pt idx="1152">
                  <c:v>227.1</c:v>
                </c:pt>
                <c:pt idx="1153">
                  <c:v>231.7</c:v>
                </c:pt>
                <c:pt idx="1154">
                  <c:v>236.4</c:v>
                </c:pt>
                <c:pt idx="1155">
                  <c:v>240.9</c:v>
                </c:pt>
                <c:pt idx="1156">
                  <c:v>245.3</c:v>
                </c:pt>
                <c:pt idx="1157">
                  <c:v>249.6</c:v>
                </c:pt>
                <c:pt idx="1158">
                  <c:v>253.6</c:v>
                </c:pt>
                <c:pt idx="1159">
                  <c:v>257.3</c:v>
                </c:pt>
                <c:pt idx="1160">
                  <c:v>260.8</c:v>
                </c:pt>
                <c:pt idx="1161">
                  <c:v>263.8</c:v>
                </c:pt>
                <c:pt idx="1162">
                  <c:v>266.5</c:v>
                </c:pt>
                <c:pt idx="1163">
                  <c:v>268.89999999999998</c:v>
                </c:pt>
                <c:pt idx="1164">
                  <c:v>270.8</c:v>
                </c:pt>
                <c:pt idx="1165">
                  <c:v>272.39999999999998</c:v>
                </c:pt>
                <c:pt idx="1166">
                  <c:v>273.7</c:v>
                </c:pt>
                <c:pt idx="1167">
                  <c:v>274.7</c:v>
                </c:pt>
                <c:pt idx="1168">
                  <c:v>275.5</c:v>
                </c:pt>
                <c:pt idx="1169">
                  <c:v>276.2</c:v>
                </c:pt>
                <c:pt idx="1170">
                  <c:v>276.7</c:v>
                </c:pt>
                <c:pt idx="1171">
                  <c:v>277.2</c:v>
                </c:pt>
                <c:pt idx="1172">
                  <c:v>277.5</c:v>
                </c:pt>
                <c:pt idx="1173">
                  <c:v>277.8</c:v>
                </c:pt>
                <c:pt idx="1174">
                  <c:v>278.10000000000002</c:v>
                </c:pt>
                <c:pt idx="1175">
                  <c:v>278.3</c:v>
                </c:pt>
                <c:pt idx="1176">
                  <c:v>278.39999999999998</c:v>
                </c:pt>
                <c:pt idx="1177">
                  <c:v>278.5</c:v>
                </c:pt>
                <c:pt idx="1178">
                  <c:v>278.5</c:v>
                </c:pt>
                <c:pt idx="1179">
                  <c:v>278.39999999999998</c:v>
                </c:pt>
                <c:pt idx="1180">
                  <c:v>278.3</c:v>
                </c:pt>
                <c:pt idx="1181">
                  <c:v>278.10000000000002</c:v>
                </c:pt>
                <c:pt idx="1182">
                  <c:v>277.89999999999998</c:v>
                </c:pt>
                <c:pt idx="1183">
                  <c:v>277.60000000000002</c:v>
                </c:pt>
                <c:pt idx="1184">
                  <c:v>277.2</c:v>
                </c:pt>
                <c:pt idx="1185">
                  <c:v>276.8</c:v>
                </c:pt>
                <c:pt idx="1186">
                  <c:v>276.2</c:v>
                </c:pt>
                <c:pt idx="1187">
                  <c:v>275.60000000000002</c:v>
                </c:pt>
                <c:pt idx="1188">
                  <c:v>274.8</c:v>
                </c:pt>
                <c:pt idx="1189">
                  <c:v>273.8</c:v>
                </c:pt>
                <c:pt idx="1190">
                  <c:v>272.5</c:v>
                </c:pt>
              </c:numCache>
            </c:numRef>
          </c:yVal>
          <c:smooth val="1"/>
          <c:extLst>
            <c:ext xmlns:c16="http://schemas.microsoft.com/office/drawing/2014/chart" uri="{C3380CC4-5D6E-409C-BE32-E72D297353CC}">
              <c16:uniqueId val="{00000001-C99E-4E9D-81F8-05E2D6EC0CA5}"/>
            </c:ext>
          </c:extLst>
        </c:ser>
        <c:ser>
          <c:idx val="5"/>
          <c:order val="2"/>
          <c:tx>
            <c:strRef>
              <c:f>Tatm!$P$5</c:f>
              <c:strCache>
                <c:ptCount val="1"/>
                <c:pt idx="0">
                  <c:v>13</c:v>
                </c:pt>
              </c:strCache>
            </c:strRef>
          </c:tx>
          <c:marker>
            <c:symbol val="none"/>
          </c:marker>
          <c:xVal>
            <c:numRef>
              <c:f>Tatm!$A$6:$A$1196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Tatm!$P$6:$P$1196</c:f>
              <c:numCache>
                <c:formatCode>General</c:formatCode>
                <c:ptCount val="1191"/>
                <c:pt idx="0">
                  <c:v>7.2</c:v>
                </c:pt>
                <c:pt idx="1">
                  <c:v>7.3</c:v>
                </c:pt>
                <c:pt idx="2">
                  <c:v>7.3</c:v>
                </c:pt>
                <c:pt idx="3">
                  <c:v>7.4</c:v>
                </c:pt>
                <c:pt idx="4">
                  <c:v>7.4</c:v>
                </c:pt>
                <c:pt idx="5">
                  <c:v>7.5</c:v>
                </c:pt>
                <c:pt idx="6">
                  <c:v>7.5</c:v>
                </c:pt>
                <c:pt idx="7">
                  <c:v>7.5</c:v>
                </c:pt>
                <c:pt idx="8">
                  <c:v>7.6</c:v>
                </c:pt>
                <c:pt idx="9">
                  <c:v>7.6</c:v>
                </c:pt>
                <c:pt idx="10">
                  <c:v>7.6</c:v>
                </c:pt>
                <c:pt idx="11">
                  <c:v>7.6</c:v>
                </c:pt>
                <c:pt idx="12">
                  <c:v>7.7</c:v>
                </c:pt>
                <c:pt idx="13">
                  <c:v>7.7</c:v>
                </c:pt>
                <c:pt idx="14">
                  <c:v>7.7</c:v>
                </c:pt>
                <c:pt idx="15">
                  <c:v>7.7</c:v>
                </c:pt>
                <c:pt idx="16">
                  <c:v>7.7</c:v>
                </c:pt>
                <c:pt idx="17">
                  <c:v>7.7</c:v>
                </c:pt>
                <c:pt idx="18">
                  <c:v>7.7</c:v>
                </c:pt>
                <c:pt idx="19">
                  <c:v>7.8</c:v>
                </c:pt>
                <c:pt idx="20">
                  <c:v>7.8</c:v>
                </c:pt>
                <c:pt idx="21">
                  <c:v>7.8</c:v>
                </c:pt>
                <c:pt idx="22">
                  <c:v>7.8</c:v>
                </c:pt>
                <c:pt idx="23">
                  <c:v>7.8</c:v>
                </c:pt>
                <c:pt idx="24">
                  <c:v>7.8</c:v>
                </c:pt>
                <c:pt idx="25">
                  <c:v>7.9</c:v>
                </c:pt>
                <c:pt idx="26">
                  <c:v>7.9</c:v>
                </c:pt>
                <c:pt idx="27">
                  <c:v>7.9</c:v>
                </c:pt>
                <c:pt idx="28">
                  <c:v>7.9</c:v>
                </c:pt>
                <c:pt idx="29">
                  <c:v>7.9</c:v>
                </c:pt>
                <c:pt idx="30">
                  <c:v>7.9</c:v>
                </c:pt>
                <c:pt idx="31">
                  <c:v>8</c:v>
                </c:pt>
                <c:pt idx="32">
                  <c:v>8</c:v>
                </c:pt>
                <c:pt idx="33">
                  <c:v>8</c:v>
                </c:pt>
                <c:pt idx="34">
                  <c:v>8</c:v>
                </c:pt>
                <c:pt idx="35">
                  <c:v>8</c:v>
                </c:pt>
                <c:pt idx="36">
                  <c:v>8.1</c:v>
                </c:pt>
                <c:pt idx="37">
                  <c:v>8.1</c:v>
                </c:pt>
                <c:pt idx="38">
                  <c:v>8.1</c:v>
                </c:pt>
                <c:pt idx="39">
                  <c:v>8.1</c:v>
                </c:pt>
                <c:pt idx="40">
                  <c:v>8.1</c:v>
                </c:pt>
                <c:pt idx="41">
                  <c:v>8.1999999999999993</c:v>
                </c:pt>
                <c:pt idx="42">
                  <c:v>8.1999999999999993</c:v>
                </c:pt>
                <c:pt idx="43">
                  <c:v>8.1999999999999993</c:v>
                </c:pt>
                <c:pt idx="44">
                  <c:v>8.1999999999999993</c:v>
                </c:pt>
                <c:pt idx="45">
                  <c:v>8.1999999999999993</c:v>
                </c:pt>
                <c:pt idx="46">
                  <c:v>8.3000000000000007</c:v>
                </c:pt>
                <c:pt idx="47">
                  <c:v>8.3000000000000007</c:v>
                </c:pt>
                <c:pt idx="48">
                  <c:v>8.3000000000000007</c:v>
                </c:pt>
                <c:pt idx="49">
                  <c:v>8.3000000000000007</c:v>
                </c:pt>
                <c:pt idx="50">
                  <c:v>8.4</c:v>
                </c:pt>
                <c:pt idx="51">
                  <c:v>8.4</c:v>
                </c:pt>
                <c:pt idx="52">
                  <c:v>8.4</c:v>
                </c:pt>
                <c:pt idx="53">
                  <c:v>8.4</c:v>
                </c:pt>
                <c:pt idx="54">
                  <c:v>8.5</c:v>
                </c:pt>
                <c:pt idx="55">
                  <c:v>8.5</c:v>
                </c:pt>
                <c:pt idx="56">
                  <c:v>8.5</c:v>
                </c:pt>
                <c:pt idx="57">
                  <c:v>8.5</c:v>
                </c:pt>
                <c:pt idx="58">
                  <c:v>8.6</c:v>
                </c:pt>
                <c:pt idx="59">
                  <c:v>8.6</c:v>
                </c:pt>
                <c:pt idx="60">
                  <c:v>8.6</c:v>
                </c:pt>
                <c:pt idx="61">
                  <c:v>8.6999999999999993</c:v>
                </c:pt>
                <c:pt idx="62">
                  <c:v>8.6999999999999993</c:v>
                </c:pt>
                <c:pt idx="63">
                  <c:v>8.6999999999999993</c:v>
                </c:pt>
                <c:pt idx="64">
                  <c:v>8.8000000000000007</c:v>
                </c:pt>
                <c:pt idx="65">
                  <c:v>8.8000000000000007</c:v>
                </c:pt>
                <c:pt idx="66">
                  <c:v>8.8000000000000007</c:v>
                </c:pt>
                <c:pt idx="67">
                  <c:v>8.9</c:v>
                </c:pt>
                <c:pt idx="68">
                  <c:v>8.9</c:v>
                </c:pt>
                <c:pt idx="69">
                  <c:v>8.9</c:v>
                </c:pt>
                <c:pt idx="70">
                  <c:v>9</c:v>
                </c:pt>
                <c:pt idx="71">
                  <c:v>9</c:v>
                </c:pt>
                <c:pt idx="72">
                  <c:v>9</c:v>
                </c:pt>
                <c:pt idx="73">
                  <c:v>9.1</c:v>
                </c:pt>
                <c:pt idx="74">
                  <c:v>9.1</c:v>
                </c:pt>
                <c:pt idx="75">
                  <c:v>9.1</c:v>
                </c:pt>
                <c:pt idx="76">
                  <c:v>9.1999999999999993</c:v>
                </c:pt>
                <c:pt idx="77">
                  <c:v>9.1999999999999993</c:v>
                </c:pt>
                <c:pt idx="78">
                  <c:v>9.3000000000000007</c:v>
                </c:pt>
                <c:pt idx="79">
                  <c:v>9.3000000000000007</c:v>
                </c:pt>
                <c:pt idx="80">
                  <c:v>9.4</c:v>
                </c:pt>
                <c:pt idx="81">
                  <c:v>9.4</c:v>
                </c:pt>
                <c:pt idx="82">
                  <c:v>9.4</c:v>
                </c:pt>
                <c:pt idx="83">
                  <c:v>9.5</c:v>
                </c:pt>
                <c:pt idx="84">
                  <c:v>9.5</c:v>
                </c:pt>
                <c:pt idx="85">
                  <c:v>9.6</c:v>
                </c:pt>
                <c:pt idx="86">
                  <c:v>9.6</c:v>
                </c:pt>
                <c:pt idx="87">
                  <c:v>9.6999999999999993</c:v>
                </c:pt>
                <c:pt idx="88">
                  <c:v>9.6999999999999993</c:v>
                </c:pt>
                <c:pt idx="89">
                  <c:v>9.8000000000000007</c:v>
                </c:pt>
                <c:pt idx="90">
                  <c:v>9.8000000000000007</c:v>
                </c:pt>
                <c:pt idx="91">
                  <c:v>9.9</c:v>
                </c:pt>
                <c:pt idx="92">
                  <c:v>9.9</c:v>
                </c:pt>
                <c:pt idx="93">
                  <c:v>10</c:v>
                </c:pt>
                <c:pt idx="94">
                  <c:v>10</c:v>
                </c:pt>
                <c:pt idx="95">
                  <c:v>10.1</c:v>
                </c:pt>
                <c:pt idx="96">
                  <c:v>10.1</c:v>
                </c:pt>
                <c:pt idx="97">
                  <c:v>10.199999999999999</c:v>
                </c:pt>
                <c:pt idx="98">
                  <c:v>10.3</c:v>
                </c:pt>
                <c:pt idx="99">
                  <c:v>10.3</c:v>
                </c:pt>
                <c:pt idx="100">
                  <c:v>10.4</c:v>
                </c:pt>
                <c:pt idx="101">
                  <c:v>10.4</c:v>
                </c:pt>
                <c:pt idx="102">
                  <c:v>10.5</c:v>
                </c:pt>
                <c:pt idx="103">
                  <c:v>10.6</c:v>
                </c:pt>
                <c:pt idx="104">
                  <c:v>10.6</c:v>
                </c:pt>
                <c:pt idx="105">
                  <c:v>10.7</c:v>
                </c:pt>
                <c:pt idx="106">
                  <c:v>10.8</c:v>
                </c:pt>
                <c:pt idx="107">
                  <c:v>10.8</c:v>
                </c:pt>
                <c:pt idx="108">
                  <c:v>10.9</c:v>
                </c:pt>
                <c:pt idx="109">
                  <c:v>11</c:v>
                </c:pt>
                <c:pt idx="110">
                  <c:v>11.1</c:v>
                </c:pt>
                <c:pt idx="111">
                  <c:v>11.1</c:v>
                </c:pt>
                <c:pt idx="112">
                  <c:v>11.2</c:v>
                </c:pt>
                <c:pt idx="113">
                  <c:v>11.3</c:v>
                </c:pt>
                <c:pt idx="114">
                  <c:v>11.4</c:v>
                </c:pt>
                <c:pt idx="115">
                  <c:v>11.4</c:v>
                </c:pt>
                <c:pt idx="116">
                  <c:v>11.5</c:v>
                </c:pt>
                <c:pt idx="117">
                  <c:v>11.6</c:v>
                </c:pt>
                <c:pt idx="118">
                  <c:v>11.7</c:v>
                </c:pt>
                <c:pt idx="119">
                  <c:v>11.8</c:v>
                </c:pt>
                <c:pt idx="120">
                  <c:v>11.9</c:v>
                </c:pt>
                <c:pt idx="121">
                  <c:v>12</c:v>
                </c:pt>
                <c:pt idx="122">
                  <c:v>12.1</c:v>
                </c:pt>
                <c:pt idx="123">
                  <c:v>12.2</c:v>
                </c:pt>
                <c:pt idx="124">
                  <c:v>12.3</c:v>
                </c:pt>
                <c:pt idx="125">
                  <c:v>12.4</c:v>
                </c:pt>
                <c:pt idx="126">
                  <c:v>12.5</c:v>
                </c:pt>
                <c:pt idx="127">
                  <c:v>12.6</c:v>
                </c:pt>
                <c:pt idx="128">
                  <c:v>12.7</c:v>
                </c:pt>
                <c:pt idx="129">
                  <c:v>12.8</c:v>
                </c:pt>
                <c:pt idx="130">
                  <c:v>13</c:v>
                </c:pt>
                <c:pt idx="131">
                  <c:v>13.1</c:v>
                </c:pt>
                <c:pt idx="132">
                  <c:v>13.2</c:v>
                </c:pt>
                <c:pt idx="133">
                  <c:v>13.3</c:v>
                </c:pt>
                <c:pt idx="134">
                  <c:v>13.5</c:v>
                </c:pt>
                <c:pt idx="135">
                  <c:v>13.6</c:v>
                </c:pt>
                <c:pt idx="136">
                  <c:v>13.7</c:v>
                </c:pt>
                <c:pt idx="137">
                  <c:v>13.9</c:v>
                </c:pt>
                <c:pt idx="138">
                  <c:v>14</c:v>
                </c:pt>
                <c:pt idx="139">
                  <c:v>14.2</c:v>
                </c:pt>
                <c:pt idx="140">
                  <c:v>14.4</c:v>
                </c:pt>
                <c:pt idx="141">
                  <c:v>14.5</c:v>
                </c:pt>
                <c:pt idx="142">
                  <c:v>14.7</c:v>
                </c:pt>
                <c:pt idx="143">
                  <c:v>14.9</c:v>
                </c:pt>
                <c:pt idx="144">
                  <c:v>15.1</c:v>
                </c:pt>
                <c:pt idx="145">
                  <c:v>15.2</c:v>
                </c:pt>
                <c:pt idx="146">
                  <c:v>15.4</c:v>
                </c:pt>
                <c:pt idx="147">
                  <c:v>15.6</c:v>
                </c:pt>
                <c:pt idx="148">
                  <c:v>15.9</c:v>
                </c:pt>
                <c:pt idx="149">
                  <c:v>16.100000000000001</c:v>
                </c:pt>
                <c:pt idx="150">
                  <c:v>16.3</c:v>
                </c:pt>
                <c:pt idx="151">
                  <c:v>16.5</c:v>
                </c:pt>
                <c:pt idx="152">
                  <c:v>16.8</c:v>
                </c:pt>
                <c:pt idx="153">
                  <c:v>17</c:v>
                </c:pt>
                <c:pt idx="154">
                  <c:v>17.3</c:v>
                </c:pt>
                <c:pt idx="155">
                  <c:v>17.600000000000001</c:v>
                </c:pt>
                <c:pt idx="156">
                  <c:v>17.899999999999999</c:v>
                </c:pt>
                <c:pt idx="157">
                  <c:v>18.2</c:v>
                </c:pt>
                <c:pt idx="158">
                  <c:v>18.5</c:v>
                </c:pt>
                <c:pt idx="159">
                  <c:v>18.8</c:v>
                </c:pt>
                <c:pt idx="160">
                  <c:v>19.2</c:v>
                </c:pt>
                <c:pt idx="161">
                  <c:v>19.5</c:v>
                </c:pt>
                <c:pt idx="162">
                  <c:v>19.899999999999999</c:v>
                </c:pt>
                <c:pt idx="163">
                  <c:v>20.3</c:v>
                </c:pt>
                <c:pt idx="164">
                  <c:v>20.7</c:v>
                </c:pt>
                <c:pt idx="165">
                  <c:v>21.2</c:v>
                </c:pt>
                <c:pt idx="166">
                  <c:v>21.6</c:v>
                </c:pt>
                <c:pt idx="167">
                  <c:v>22.1</c:v>
                </c:pt>
                <c:pt idx="168">
                  <c:v>22.6</c:v>
                </c:pt>
                <c:pt idx="169">
                  <c:v>23.1</c:v>
                </c:pt>
                <c:pt idx="170">
                  <c:v>23.7</c:v>
                </c:pt>
                <c:pt idx="171">
                  <c:v>24.3</c:v>
                </c:pt>
                <c:pt idx="172">
                  <c:v>24.9</c:v>
                </c:pt>
                <c:pt idx="173">
                  <c:v>25.5</c:v>
                </c:pt>
                <c:pt idx="174">
                  <c:v>26.2</c:v>
                </c:pt>
                <c:pt idx="175">
                  <c:v>27</c:v>
                </c:pt>
                <c:pt idx="176">
                  <c:v>27.8</c:v>
                </c:pt>
                <c:pt idx="177">
                  <c:v>28.6</c:v>
                </c:pt>
                <c:pt idx="178">
                  <c:v>29.4</c:v>
                </c:pt>
                <c:pt idx="179">
                  <c:v>30.4</c:v>
                </c:pt>
                <c:pt idx="180">
                  <c:v>31.3</c:v>
                </c:pt>
                <c:pt idx="181">
                  <c:v>32.4</c:v>
                </c:pt>
                <c:pt idx="182">
                  <c:v>33.5</c:v>
                </c:pt>
                <c:pt idx="183">
                  <c:v>34.700000000000003</c:v>
                </c:pt>
                <c:pt idx="184">
                  <c:v>35.9</c:v>
                </c:pt>
                <c:pt idx="185">
                  <c:v>37.200000000000003</c:v>
                </c:pt>
                <c:pt idx="186">
                  <c:v>38.6</c:v>
                </c:pt>
                <c:pt idx="187">
                  <c:v>40.1</c:v>
                </c:pt>
                <c:pt idx="188">
                  <c:v>41.7</c:v>
                </c:pt>
                <c:pt idx="189">
                  <c:v>43.4</c:v>
                </c:pt>
                <c:pt idx="190">
                  <c:v>45.2</c:v>
                </c:pt>
                <c:pt idx="191">
                  <c:v>47.1</c:v>
                </c:pt>
                <c:pt idx="192">
                  <c:v>49.1</c:v>
                </c:pt>
                <c:pt idx="193">
                  <c:v>51.2</c:v>
                </c:pt>
                <c:pt idx="194">
                  <c:v>53.4</c:v>
                </c:pt>
                <c:pt idx="195">
                  <c:v>55.8</c:v>
                </c:pt>
                <c:pt idx="196">
                  <c:v>58.3</c:v>
                </c:pt>
                <c:pt idx="197">
                  <c:v>60.9</c:v>
                </c:pt>
                <c:pt idx="198">
                  <c:v>63.7</c:v>
                </c:pt>
                <c:pt idx="199">
                  <c:v>66.5</c:v>
                </c:pt>
                <c:pt idx="200">
                  <c:v>69.400000000000006</c:v>
                </c:pt>
                <c:pt idx="201">
                  <c:v>72.5</c:v>
                </c:pt>
                <c:pt idx="202">
                  <c:v>75.599999999999994</c:v>
                </c:pt>
                <c:pt idx="203">
                  <c:v>78.7</c:v>
                </c:pt>
                <c:pt idx="204">
                  <c:v>81.900000000000006</c:v>
                </c:pt>
                <c:pt idx="205">
                  <c:v>85</c:v>
                </c:pt>
                <c:pt idx="206">
                  <c:v>88.1</c:v>
                </c:pt>
                <c:pt idx="207">
                  <c:v>91</c:v>
                </c:pt>
                <c:pt idx="208">
                  <c:v>93.8</c:v>
                </c:pt>
                <c:pt idx="209">
                  <c:v>96.3</c:v>
                </c:pt>
                <c:pt idx="210">
                  <c:v>98.5</c:v>
                </c:pt>
                <c:pt idx="211">
                  <c:v>100.3</c:v>
                </c:pt>
                <c:pt idx="212">
                  <c:v>101.6</c:v>
                </c:pt>
                <c:pt idx="213">
                  <c:v>102.2</c:v>
                </c:pt>
                <c:pt idx="214">
                  <c:v>102.1</c:v>
                </c:pt>
                <c:pt idx="215">
                  <c:v>101.5</c:v>
                </c:pt>
                <c:pt idx="216">
                  <c:v>100.5</c:v>
                </c:pt>
                <c:pt idx="217">
                  <c:v>99.1</c:v>
                </c:pt>
                <c:pt idx="218">
                  <c:v>97.5</c:v>
                </c:pt>
                <c:pt idx="219">
                  <c:v>95.6</c:v>
                </c:pt>
                <c:pt idx="220">
                  <c:v>93.5</c:v>
                </c:pt>
                <c:pt idx="221">
                  <c:v>91.3</c:v>
                </c:pt>
                <c:pt idx="222">
                  <c:v>89</c:v>
                </c:pt>
                <c:pt idx="223">
                  <c:v>86.7</c:v>
                </c:pt>
                <c:pt idx="224">
                  <c:v>84.4</c:v>
                </c:pt>
                <c:pt idx="225">
                  <c:v>82</c:v>
                </c:pt>
                <c:pt idx="226">
                  <c:v>79.7</c:v>
                </c:pt>
                <c:pt idx="227">
                  <c:v>77.400000000000006</c:v>
                </c:pt>
                <c:pt idx="228">
                  <c:v>75.2</c:v>
                </c:pt>
                <c:pt idx="229">
                  <c:v>73</c:v>
                </c:pt>
                <c:pt idx="230">
                  <c:v>71</c:v>
                </c:pt>
                <c:pt idx="231">
                  <c:v>69</c:v>
                </c:pt>
                <c:pt idx="232">
                  <c:v>67</c:v>
                </c:pt>
                <c:pt idx="233">
                  <c:v>65.2</c:v>
                </c:pt>
                <c:pt idx="234">
                  <c:v>63.4</c:v>
                </c:pt>
                <c:pt idx="235">
                  <c:v>61.8</c:v>
                </c:pt>
                <c:pt idx="236">
                  <c:v>60.2</c:v>
                </c:pt>
                <c:pt idx="237">
                  <c:v>58.7</c:v>
                </c:pt>
                <c:pt idx="238">
                  <c:v>57.2</c:v>
                </c:pt>
                <c:pt idx="239">
                  <c:v>55.9</c:v>
                </c:pt>
                <c:pt idx="240">
                  <c:v>54.6</c:v>
                </c:pt>
                <c:pt idx="241">
                  <c:v>53.4</c:v>
                </c:pt>
                <c:pt idx="242">
                  <c:v>52.2</c:v>
                </c:pt>
                <c:pt idx="243">
                  <c:v>51.1</c:v>
                </c:pt>
                <c:pt idx="244">
                  <c:v>50.1</c:v>
                </c:pt>
                <c:pt idx="245">
                  <c:v>49.1</c:v>
                </c:pt>
                <c:pt idx="246">
                  <c:v>48.2</c:v>
                </c:pt>
                <c:pt idx="247">
                  <c:v>47.3</c:v>
                </c:pt>
                <c:pt idx="248">
                  <c:v>46.5</c:v>
                </c:pt>
                <c:pt idx="249">
                  <c:v>45.7</c:v>
                </c:pt>
                <c:pt idx="250">
                  <c:v>45</c:v>
                </c:pt>
                <c:pt idx="251">
                  <c:v>44.3</c:v>
                </c:pt>
                <c:pt idx="252">
                  <c:v>43.7</c:v>
                </c:pt>
                <c:pt idx="253">
                  <c:v>43.1</c:v>
                </c:pt>
                <c:pt idx="254">
                  <c:v>42.5</c:v>
                </c:pt>
                <c:pt idx="255">
                  <c:v>41.9</c:v>
                </c:pt>
                <c:pt idx="256">
                  <c:v>41.4</c:v>
                </c:pt>
                <c:pt idx="257">
                  <c:v>40.9</c:v>
                </c:pt>
                <c:pt idx="258">
                  <c:v>40.5</c:v>
                </c:pt>
                <c:pt idx="259">
                  <c:v>40</c:v>
                </c:pt>
                <c:pt idx="260">
                  <c:v>39.6</c:v>
                </c:pt>
                <c:pt idx="261">
                  <c:v>39.299999999999997</c:v>
                </c:pt>
                <c:pt idx="262">
                  <c:v>38.9</c:v>
                </c:pt>
                <c:pt idx="263">
                  <c:v>38.6</c:v>
                </c:pt>
                <c:pt idx="264">
                  <c:v>38.200000000000003</c:v>
                </c:pt>
                <c:pt idx="265">
                  <c:v>37.9</c:v>
                </c:pt>
                <c:pt idx="266">
                  <c:v>37.6</c:v>
                </c:pt>
                <c:pt idx="267">
                  <c:v>37.4</c:v>
                </c:pt>
                <c:pt idx="268">
                  <c:v>37.1</c:v>
                </c:pt>
                <c:pt idx="269">
                  <c:v>36.9</c:v>
                </c:pt>
                <c:pt idx="270">
                  <c:v>36.700000000000003</c:v>
                </c:pt>
                <c:pt idx="271">
                  <c:v>36.5</c:v>
                </c:pt>
                <c:pt idx="272">
                  <c:v>36.299999999999997</c:v>
                </c:pt>
                <c:pt idx="273">
                  <c:v>36.1</c:v>
                </c:pt>
                <c:pt idx="274">
                  <c:v>35.9</c:v>
                </c:pt>
                <c:pt idx="275">
                  <c:v>35.799999999999997</c:v>
                </c:pt>
                <c:pt idx="276">
                  <c:v>35.700000000000003</c:v>
                </c:pt>
                <c:pt idx="277">
                  <c:v>35.5</c:v>
                </c:pt>
                <c:pt idx="278">
                  <c:v>35.4</c:v>
                </c:pt>
                <c:pt idx="279">
                  <c:v>35.299999999999997</c:v>
                </c:pt>
                <c:pt idx="280">
                  <c:v>35.200000000000003</c:v>
                </c:pt>
                <c:pt idx="281">
                  <c:v>35.1</c:v>
                </c:pt>
                <c:pt idx="282">
                  <c:v>35</c:v>
                </c:pt>
                <c:pt idx="283">
                  <c:v>34.9</c:v>
                </c:pt>
                <c:pt idx="284">
                  <c:v>34.9</c:v>
                </c:pt>
                <c:pt idx="285">
                  <c:v>34.799999999999997</c:v>
                </c:pt>
                <c:pt idx="286">
                  <c:v>34.799999999999997</c:v>
                </c:pt>
                <c:pt idx="287">
                  <c:v>34.700000000000003</c:v>
                </c:pt>
                <c:pt idx="288">
                  <c:v>34.700000000000003</c:v>
                </c:pt>
                <c:pt idx="289">
                  <c:v>34.6</c:v>
                </c:pt>
                <c:pt idx="290">
                  <c:v>34.6</c:v>
                </c:pt>
                <c:pt idx="291">
                  <c:v>34.6</c:v>
                </c:pt>
                <c:pt idx="292">
                  <c:v>34.6</c:v>
                </c:pt>
                <c:pt idx="293">
                  <c:v>34.6</c:v>
                </c:pt>
                <c:pt idx="294">
                  <c:v>34.6</c:v>
                </c:pt>
                <c:pt idx="295">
                  <c:v>34.6</c:v>
                </c:pt>
                <c:pt idx="296">
                  <c:v>34.6</c:v>
                </c:pt>
                <c:pt idx="297">
                  <c:v>34.6</c:v>
                </c:pt>
                <c:pt idx="298">
                  <c:v>34.6</c:v>
                </c:pt>
                <c:pt idx="299">
                  <c:v>34.700000000000003</c:v>
                </c:pt>
                <c:pt idx="300">
                  <c:v>34.700000000000003</c:v>
                </c:pt>
                <c:pt idx="301">
                  <c:v>34.700000000000003</c:v>
                </c:pt>
                <c:pt idx="302">
                  <c:v>34.799999999999997</c:v>
                </c:pt>
                <c:pt idx="303">
                  <c:v>34.799999999999997</c:v>
                </c:pt>
                <c:pt idx="304">
                  <c:v>34.9</c:v>
                </c:pt>
                <c:pt idx="305">
                  <c:v>34.9</c:v>
                </c:pt>
                <c:pt idx="306">
                  <c:v>35</c:v>
                </c:pt>
                <c:pt idx="307">
                  <c:v>35</c:v>
                </c:pt>
                <c:pt idx="308">
                  <c:v>35.1</c:v>
                </c:pt>
                <c:pt idx="309">
                  <c:v>35.200000000000003</c:v>
                </c:pt>
                <c:pt idx="310">
                  <c:v>35.200000000000003</c:v>
                </c:pt>
                <c:pt idx="311">
                  <c:v>35.299999999999997</c:v>
                </c:pt>
                <c:pt idx="312">
                  <c:v>35.4</c:v>
                </c:pt>
                <c:pt idx="313">
                  <c:v>35.5</c:v>
                </c:pt>
                <c:pt idx="314">
                  <c:v>35.6</c:v>
                </c:pt>
                <c:pt idx="315">
                  <c:v>35.700000000000003</c:v>
                </c:pt>
                <c:pt idx="316">
                  <c:v>35.799999999999997</c:v>
                </c:pt>
                <c:pt idx="317">
                  <c:v>35.799999999999997</c:v>
                </c:pt>
                <c:pt idx="318">
                  <c:v>36</c:v>
                </c:pt>
                <c:pt idx="319">
                  <c:v>36.1</c:v>
                </c:pt>
                <c:pt idx="320">
                  <c:v>36.200000000000003</c:v>
                </c:pt>
                <c:pt idx="321">
                  <c:v>36.299999999999997</c:v>
                </c:pt>
                <c:pt idx="322">
                  <c:v>36.4</c:v>
                </c:pt>
                <c:pt idx="323">
                  <c:v>36.5</c:v>
                </c:pt>
                <c:pt idx="324">
                  <c:v>36.6</c:v>
                </c:pt>
                <c:pt idx="325">
                  <c:v>36.799999999999997</c:v>
                </c:pt>
                <c:pt idx="326">
                  <c:v>36.9</c:v>
                </c:pt>
                <c:pt idx="327">
                  <c:v>37</c:v>
                </c:pt>
                <c:pt idx="328">
                  <c:v>37.1</c:v>
                </c:pt>
                <c:pt idx="329">
                  <c:v>37.299999999999997</c:v>
                </c:pt>
                <c:pt idx="330">
                  <c:v>37.4</c:v>
                </c:pt>
                <c:pt idx="331">
                  <c:v>37.6</c:v>
                </c:pt>
                <c:pt idx="332">
                  <c:v>37.700000000000003</c:v>
                </c:pt>
                <c:pt idx="333">
                  <c:v>37.9</c:v>
                </c:pt>
                <c:pt idx="334">
                  <c:v>38</c:v>
                </c:pt>
                <c:pt idx="335">
                  <c:v>38.200000000000003</c:v>
                </c:pt>
                <c:pt idx="336">
                  <c:v>38.299999999999997</c:v>
                </c:pt>
                <c:pt idx="337">
                  <c:v>38.5</c:v>
                </c:pt>
                <c:pt idx="338">
                  <c:v>38.700000000000003</c:v>
                </c:pt>
                <c:pt idx="339">
                  <c:v>38.799999999999997</c:v>
                </c:pt>
                <c:pt idx="340">
                  <c:v>39</c:v>
                </c:pt>
                <c:pt idx="341">
                  <c:v>39.200000000000003</c:v>
                </c:pt>
                <c:pt idx="342">
                  <c:v>39.299999999999997</c:v>
                </c:pt>
                <c:pt idx="343">
                  <c:v>39.5</c:v>
                </c:pt>
                <c:pt idx="344">
                  <c:v>39.700000000000003</c:v>
                </c:pt>
                <c:pt idx="345">
                  <c:v>39.9</c:v>
                </c:pt>
                <c:pt idx="346">
                  <c:v>40.1</c:v>
                </c:pt>
                <c:pt idx="347">
                  <c:v>40.299999999999997</c:v>
                </c:pt>
                <c:pt idx="348">
                  <c:v>40.5</c:v>
                </c:pt>
                <c:pt idx="349">
                  <c:v>40.700000000000003</c:v>
                </c:pt>
                <c:pt idx="350">
                  <c:v>40.9</c:v>
                </c:pt>
                <c:pt idx="351">
                  <c:v>41.1</c:v>
                </c:pt>
                <c:pt idx="352">
                  <c:v>41.3</c:v>
                </c:pt>
                <c:pt idx="353">
                  <c:v>41.5</c:v>
                </c:pt>
                <c:pt idx="354">
                  <c:v>41.7</c:v>
                </c:pt>
                <c:pt idx="355">
                  <c:v>41.9</c:v>
                </c:pt>
                <c:pt idx="356">
                  <c:v>42.1</c:v>
                </c:pt>
                <c:pt idx="357">
                  <c:v>42.3</c:v>
                </c:pt>
                <c:pt idx="358">
                  <c:v>42.6</c:v>
                </c:pt>
                <c:pt idx="359">
                  <c:v>42.8</c:v>
                </c:pt>
                <c:pt idx="360">
                  <c:v>43</c:v>
                </c:pt>
                <c:pt idx="361">
                  <c:v>43.3</c:v>
                </c:pt>
                <c:pt idx="362">
                  <c:v>43.5</c:v>
                </c:pt>
                <c:pt idx="363">
                  <c:v>43.7</c:v>
                </c:pt>
                <c:pt idx="364">
                  <c:v>44</c:v>
                </c:pt>
                <c:pt idx="365">
                  <c:v>44.2</c:v>
                </c:pt>
                <c:pt idx="366">
                  <c:v>44.5</c:v>
                </c:pt>
                <c:pt idx="367">
                  <c:v>44.8</c:v>
                </c:pt>
                <c:pt idx="368">
                  <c:v>45</c:v>
                </c:pt>
                <c:pt idx="369">
                  <c:v>45.3</c:v>
                </c:pt>
                <c:pt idx="370">
                  <c:v>45.5</c:v>
                </c:pt>
                <c:pt idx="371">
                  <c:v>45.8</c:v>
                </c:pt>
                <c:pt idx="372">
                  <c:v>46.1</c:v>
                </c:pt>
                <c:pt idx="373">
                  <c:v>46.4</c:v>
                </c:pt>
                <c:pt idx="374">
                  <c:v>46.7</c:v>
                </c:pt>
                <c:pt idx="375">
                  <c:v>46.9</c:v>
                </c:pt>
                <c:pt idx="376">
                  <c:v>47.2</c:v>
                </c:pt>
                <c:pt idx="377">
                  <c:v>47.5</c:v>
                </c:pt>
                <c:pt idx="378">
                  <c:v>47.8</c:v>
                </c:pt>
                <c:pt idx="379">
                  <c:v>48.1</c:v>
                </c:pt>
                <c:pt idx="380">
                  <c:v>48.4</c:v>
                </c:pt>
                <c:pt idx="381">
                  <c:v>48.7</c:v>
                </c:pt>
                <c:pt idx="382">
                  <c:v>49.1</c:v>
                </c:pt>
                <c:pt idx="383">
                  <c:v>49.4</c:v>
                </c:pt>
                <c:pt idx="384">
                  <c:v>49.7</c:v>
                </c:pt>
                <c:pt idx="385">
                  <c:v>50</c:v>
                </c:pt>
                <c:pt idx="386">
                  <c:v>50.4</c:v>
                </c:pt>
                <c:pt idx="387">
                  <c:v>50.7</c:v>
                </c:pt>
                <c:pt idx="388">
                  <c:v>51</c:v>
                </c:pt>
                <c:pt idx="389">
                  <c:v>51.4</c:v>
                </c:pt>
                <c:pt idx="390">
                  <c:v>51.7</c:v>
                </c:pt>
                <c:pt idx="391">
                  <c:v>52.1</c:v>
                </c:pt>
                <c:pt idx="392">
                  <c:v>52.5</c:v>
                </c:pt>
                <c:pt idx="393">
                  <c:v>52.8</c:v>
                </c:pt>
                <c:pt idx="394">
                  <c:v>53.2</c:v>
                </c:pt>
                <c:pt idx="395">
                  <c:v>53.6</c:v>
                </c:pt>
                <c:pt idx="396">
                  <c:v>54</c:v>
                </c:pt>
                <c:pt idx="397">
                  <c:v>54.4</c:v>
                </c:pt>
                <c:pt idx="398">
                  <c:v>54.8</c:v>
                </c:pt>
                <c:pt idx="399">
                  <c:v>55.2</c:v>
                </c:pt>
                <c:pt idx="400">
                  <c:v>55.6</c:v>
                </c:pt>
                <c:pt idx="401">
                  <c:v>56</c:v>
                </c:pt>
                <c:pt idx="402">
                  <c:v>56.4</c:v>
                </c:pt>
                <c:pt idx="403">
                  <c:v>56.8</c:v>
                </c:pt>
                <c:pt idx="404">
                  <c:v>57.3</c:v>
                </c:pt>
                <c:pt idx="405">
                  <c:v>57.7</c:v>
                </c:pt>
                <c:pt idx="406">
                  <c:v>58.1</c:v>
                </c:pt>
                <c:pt idx="407">
                  <c:v>58.6</c:v>
                </c:pt>
                <c:pt idx="408">
                  <c:v>59.1</c:v>
                </c:pt>
                <c:pt idx="409">
                  <c:v>59.5</c:v>
                </c:pt>
                <c:pt idx="410">
                  <c:v>60</c:v>
                </c:pt>
                <c:pt idx="411">
                  <c:v>60.5</c:v>
                </c:pt>
                <c:pt idx="412">
                  <c:v>61</c:v>
                </c:pt>
                <c:pt idx="413">
                  <c:v>61.5</c:v>
                </c:pt>
                <c:pt idx="414">
                  <c:v>62</c:v>
                </c:pt>
                <c:pt idx="415">
                  <c:v>62.5</c:v>
                </c:pt>
                <c:pt idx="416">
                  <c:v>63</c:v>
                </c:pt>
                <c:pt idx="417">
                  <c:v>63.5</c:v>
                </c:pt>
                <c:pt idx="418">
                  <c:v>64</c:v>
                </c:pt>
                <c:pt idx="419">
                  <c:v>64.599999999999994</c:v>
                </c:pt>
                <c:pt idx="420">
                  <c:v>65.099999999999994</c:v>
                </c:pt>
                <c:pt idx="421">
                  <c:v>65.7</c:v>
                </c:pt>
                <c:pt idx="422">
                  <c:v>66.3</c:v>
                </c:pt>
                <c:pt idx="423">
                  <c:v>66.900000000000006</c:v>
                </c:pt>
                <c:pt idx="424">
                  <c:v>67.400000000000006</c:v>
                </c:pt>
                <c:pt idx="425">
                  <c:v>68</c:v>
                </c:pt>
                <c:pt idx="426">
                  <c:v>68.7</c:v>
                </c:pt>
                <c:pt idx="427">
                  <c:v>69.3</c:v>
                </c:pt>
                <c:pt idx="428">
                  <c:v>69.900000000000006</c:v>
                </c:pt>
                <c:pt idx="429">
                  <c:v>70.5</c:v>
                </c:pt>
                <c:pt idx="430">
                  <c:v>71.2</c:v>
                </c:pt>
                <c:pt idx="431">
                  <c:v>71.900000000000006</c:v>
                </c:pt>
                <c:pt idx="432">
                  <c:v>72.5</c:v>
                </c:pt>
                <c:pt idx="433">
                  <c:v>73.2</c:v>
                </c:pt>
                <c:pt idx="434">
                  <c:v>73.900000000000006</c:v>
                </c:pt>
                <c:pt idx="435">
                  <c:v>74.599999999999994</c:v>
                </c:pt>
                <c:pt idx="436">
                  <c:v>75.400000000000006</c:v>
                </c:pt>
                <c:pt idx="437">
                  <c:v>76.099999999999994</c:v>
                </c:pt>
                <c:pt idx="438">
                  <c:v>76.8</c:v>
                </c:pt>
                <c:pt idx="439">
                  <c:v>77.599999999999994</c:v>
                </c:pt>
                <c:pt idx="440">
                  <c:v>78.400000000000006</c:v>
                </c:pt>
                <c:pt idx="441">
                  <c:v>79.2</c:v>
                </c:pt>
                <c:pt idx="442">
                  <c:v>80</c:v>
                </c:pt>
                <c:pt idx="443">
                  <c:v>80.8</c:v>
                </c:pt>
                <c:pt idx="444">
                  <c:v>81.599999999999994</c:v>
                </c:pt>
                <c:pt idx="445">
                  <c:v>82.5</c:v>
                </c:pt>
                <c:pt idx="446">
                  <c:v>83.4</c:v>
                </c:pt>
                <c:pt idx="447">
                  <c:v>84.3</c:v>
                </c:pt>
                <c:pt idx="448">
                  <c:v>85.2</c:v>
                </c:pt>
                <c:pt idx="449">
                  <c:v>86.1</c:v>
                </c:pt>
                <c:pt idx="450">
                  <c:v>87</c:v>
                </c:pt>
                <c:pt idx="451">
                  <c:v>88</c:v>
                </c:pt>
                <c:pt idx="452">
                  <c:v>89</c:v>
                </c:pt>
                <c:pt idx="453">
                  <c:v>90</c:v>
                </c:pt>
                <c:pt idx="454">
                  <c:v>91</c:v>
                </c:pt>
                <c:pt idx="455">
                  <c:v>92</c:v>
                </c:pt>
                <c:pt idx="456">
                  <c:v>93.1</c:v>
                </c:pt>
                <c:pt idx="457">
                  <c:v>94.2</c:v>
                </c:pt>
                <c:pt idx="458">
                  <c:v>95.3</c:v>
                </c:pt>
                <c:pt idx="459">
                  <c:v>96.4</c:v>
                </c:pt>
                <c:pt idx="460">
                  <c:v>97.6</c:v>
                </c:pt>
                <c:pt idx="461">
                  <c:v>98.7</c:v>
                </c:pt>
                <c:pt idx="462">
                  <c:v>99.9</c:v>
                </c:pt>
                <c:pt idx="463">
                  <c:v>101.2</c:v>
                </c:pt>
                <c:pt idx="464">
                  <c:v>102.4</c:v>
                </c:pt>
                <c:pt idx="465">
                  <c:v>103.7</c:v>
                </c:pt>
                <c:pt idx="466">
                  <c:v>105</c:v>
                </c:pt>
                <c:pt idx="467">
                  <c:v>106.4</c:v>
                </c:pt>
                <c:pt idx="468">
                  <c:v>107.8</c:v>
                </c:pt>
                <c:pt idx="469">
                  <c:v>109.2</c:v>
                </c:pt>
                <c:pt idx="470">
                  <c:v>110.6</c:v>
                </c:pt>
                <c:pt idx="471">
                  <c:v>112.1</c:v>
                </c:pt>
                <c:pt idx="472">
                  <c:v>113.6</c:v>
                </c:pt>
                <c:pt idx="473">
                  <c:v>115.1</c:v>
                </c:pt>
                <c:pt idx="474">
                  <c:v>116.7</c:v>
                </c:pt>
                <c:pt idx="475">
                  <c:v>118.3</c:v>
                </c:pt>
                <c:pt idx="476">
                  <c:v>120</c:v>
                </c:pt>
                <c:pt idx="477">
                  <c:v>121.7</c:v>
                </c:pt>
                <c:pt idx="478">
                  <c:v>123.5</c:v>
                </c:pt>
                <c:pt idx="479">
                  <c:v>125.3</c:v>
                </c:pt>
                <c:pt idx="480">
                  <c:v>127.1</c:v>
                </c:pt>
                <c:pt idx="481">
                  <c:v>129</c:v>
                </c:pt>
                <c:pt idx="482">
                  <c:v>130.9</c:v>
                </c:pt>
                <c:pt idx="483">
                  <c:v>132.9</c:v>
                </c:pt>
                <c:pt idx="484">
                  <c:v>135</c:v>
                </c:pt>
                <c:pt idx="485">
                  <c:v>137.1</c:v>
                </c:pt>
                <c:pt idx="486">
                  <c:v>139.30000000000001</c:v>
                </c:pt>
                <c:pt idx="487">
                  <c:v>141.5</c:v>
                </c:pt>
                <c:pt idx="488">
                  <c:v>143.80000000000001</c:v>
                </c:pt>
                <c:pt idx="489">
                  <c:v>146.19999999999999</c:v>
                </c:pt>
                <c:pt idx="490">
                  <c:v>148.69999999999999</c:v>
                </c:pt>
                <c:pt idx="491">
                  <c:v>151.19999999999999</c:v>
                </c:pt>
                <c:pt idx="492">
                  <c:v>153.9</c:v>
                </c:pt>
                <c:pt idx="493">
                  <c:v>156.6</c:v>
                </c:pt>
                <c:pt idx="494">
                  <c:v>159.5</c:v>
                </c:pt>
                <c:pt idx="495">
                  <c:v>162.5</c:v>
                </c:pt>
                <c:pt idx="496">
                  <c:v>165.5</c:v>
                </c:pt>
                <c:pt idx="497">
                  <c:v>168.7</c:v>
                </c:pt>
                <c:pt idx="498">
                  <c:v>172</c:v>
                </c:pt>
                <c:pt idx="499">
                  <c:v>175.5</c:v>
                </c:pt>
                <c:pt idx="500">
                  <c:v>179.2</c:v>
                </c:pt>
                <c:pt idx="501">
                  <c:v>182.7</c:v>
                </c:pt>
                <c:pt idx="502">
                  <c:v>186.5</c:v>
                </c:pt>
                <c:pt idx="503">
                  <c:v>190.5</c:v>
                </c:pt>
                <c:pt idx="504">
                  <c:v>194.8</c:v>
                </c:pt>
                <c:pt idx="505">
                  <c:v>199.5</c:v>
                </c:pt>
                <c:pt idx="506">
                  <c:v>203.4</c:v>
                </c:pt>
                <c:pt idx="507">
                  <c:v>207.8</c:v>
                </c:pt>
                <c:pt idx="508">
                  <c:v>212.4</c:v>
                </c:pt>
                <c:pt idx="509">
                  <c:v>217.4</c:v>
                </c:pt>
                <c:pt idx="510">
                  <c:v>223</c:v>
                </c:pt>
                <c:pt idx="511">
                  <c:v>227.3</c:v>
                </c:pt>
                <c:pt idx="512">
                  <c:v>231.8</c:v>
                </c:pt>
                <c:pt idx="513">
                  <c:v>236.6</c:v>
                </c:pt>
                <c:pt idx="514">
                  <c:v>241.8</c:v>
                </c:pt>
                <c:pt idx="515">
                  <c:v>247.4</c:v>
                </c:pt>
                <c:pt idx="516">
                  <c:v>251.6</c:v>
                </c:pt>
                <c:pt idx="517">
                  <c:v>255.2</c:v>
                </c:pt>
                <c:pt idx="518">
                  <c:v>259.10000000000002</c:v>
                </c:pt>
                <c:pt idx="519">
                  <c:v>263.10000000000002</c:v>
                </c:pt>
                <c:pt idx="520">
                  <c:v>267.2</c:v>
                </c:pt>
                <c:pt idx="521">
                  <c:v>270.5</c:v>
                </c:pt>
                <c:pt idx="522">
                  <c:v>272.39999999999998</c:v>
                </c:pt>
                <c:pt idx="523">
                  <c:v>274.5</c:v>
                </c:pt>
                <c:pt idx="524">
                  <c:v>276.60000000000002</c:v>
                </c:pt>
                <c:pt idx="525">
                  <c:v>278.5</c:v>
                </c:pt>
                <c:pt idx="526">
                  <c:v>280.2</c:v>
                </c:pt>
                <c:pt idx="527">
                  <c:v>280.8</c:v>
                </c:pt>
                <c:pt idx="528">
                  <c:v>281.60000000000002</c:v>
                </c:pt>
                <c:pt idx="529">
                  <c:v>282.3</c:v>
                </c:pt>
                <c:pt idx="530">
                  <c:v>283</c:v>
                </c:pt>
                <c:pt idx="531">
                  <c:v>283.5</c:v>
                </c:pt>
                <c:pt idx="532">
                  <c:v>283.89999999999998</c:v>
                </c:pt>
                <c:pt idx="533">
                  <c:v>284.2</c:v>
                </c:pt>
                <c:pt idx="534">
                  <c:v>284.5</c:v>
                </c:pt>
                <c:pt idx="535">
                  <c:v>284.8</c:v>
                </c:pt>
                <c:pt idx="536">
                  <c:v>285.10000000000002</c:v>
                </c:pt>
                <c:pt idx="537">
                  <c:v>285.3</c:v>
                </c:pt>
                <c:pt idx="538">
                  <c:v>285.5</c:v>
                </c:pt>
                <c:pt idx="539">
                  <c:v>285.7</c:v>
                </c:pt>
                <c:pt idx="540">
                  <c:v>285.89999999999998</c:v>
                </c:pt>
                <c:pt idx="541">
                  <c:v>286</c:v>
                </c:pt>
                <c:pt idx="542">
                  <c:v>286.2</c:v>
                </c:pt>
                <c:pt idx="543">
                  <c:v>286.3</c:v>
                </c:pt>
                <c:pt idx="544">
                  <c:v>286.39999999999998</c:v>
                </c:pt>
                <c:pt idx="545">
                  <c:v>286.5</c:v>
                </c:pt>
                <c:pt idx="546">
                  <c:v>286.60000000000002</c:v>
                </c:pt>
                <c:pt idx="547">
                  <c:v>286.7</c:v>
                </c:pt>
                <c:pt idx="548">
                  <c:v>286.8</c:v>
                </c:pt>
                <c:pt idx="549">
                  <c:v>286.89999999999998</c:v>
                </c:pt>
                <c:pt idx="550">
                  <c:v>286.89999999999998</c:v>
                </c:pt>
                <c:pt idx="551">
                  <c:v>287</c:v>
                </c:pt>
                <c:pt idx="552">
                  <c:v>287</c:v>
                </c:pt>
                <c:pt idx="553">
                  <c:v>287.10000000000002</c:v>
                </c:pt>
                <c:pt idx="554">
                  <c:v>287.10000000000002</c:v>
                </c:pt>
                <c:pt idx="555">
                  <c:v>287.2</c:v>
                </c:pt>
                <c:pt idx="556">
                  <c:v>287.2</c:v>
                </c:pt>
                <c:pt idx="557">
                  <c:v>287.3</c:v>
                </c:pt>
                <c:pt idx="558">
                  <c:v>287.3</c:v>
                </c:pt>
                <c:pt idx="559">
                  <c:v>287.3</c:v>
                </c:pt>
                <c:pt idx="560">
                  <c:v>287.39999999999998</c:v>
                </c:pt>
                <c:pt idx="561">
                  <c:v>287.39999999999998</c:v>
                </c:pt>
                <c:pt idx="562">
                  <c:v>287.39999999999998</c:v>
                </c:pt>
                <c:pt idx="563">
                  <c:v>287.39999999999998</c:v>
                </c:pt>
                <c:pt idx="564">
                  <c:v>287.5</c:v>
                </c:pt>
                <c:pt idx="565">
                  <c:v>287.5</c:v>
                </c:pt>
                <c:pt idx="566">
                  <c:v>287.5</c:v>
                </c:pt>
                <c:pt idx="567">
                  <c:v>287.5</c:v>
                </c:pt>
                <c:pt idx="568">
                  <c:v>287.5</c:v>
                </c:pt>
                <c:pt idx="569">
                  <c:v>287.5</c:v>
                </c:pt>
                <c:pt idx="570">
                  <c:v>287.60000000000002</c:v>
                </c:pt>
                <c:pt idx="571">
                  <c:v>287.60000000000002</c:v>
                </c:pt>
                <c:pt idx="572">
                  <c:v>287.60000000000002</c:v>
                </c:pt>
                <c:pt idx="573">
                  <c:v>287.60000000000002</c:v>
                </c:pt>
                <c:pt idx="574">
                  <c:v>287.60000000000002</c:v>
                </c:pt>
                <c:pt idx="575">
                  <c:v>287.60000000000002</c:v>
                </c:pt>
                <c:pt idx="576">
                  <c:v>287.60000000000002</c:v>
                </c:pt>
                <c:pt idx="577">
                  <c:v>287.60000000000002</c:v>
                </c:pt>
                <c:pt idx="578">
                  <c:v>287.60000000000002</c:v>
                </c:pt>
                <c:pt idx="579">
                  <c:v>287.60000000000002</c:v>
                </c:pt>
                <c:pt idx="580">
                  <c:v>287.60000000000002</c:v>
                </c:pt>
                <c:pt idx="581">
                  <c:v>287.7</c:v>
                </c:pt>
                <c:pt idx="582">
                  <c:v>287.7</c:v>
                </c:pt>
                <c:pt idx="583">
                  <c:v>287.7</c:v>
                </c:pt>
                <c:pt idx="584">
                  <c:v>287.7</c:v>
                </c:pt>
                <c:pt idx="585">
                  <c:v>287.7</c:v>
                </c:pt>
                <c:pt idx="586">
                  <c:v>287.7</c:v>
                </c:pt>
                <c:pt idx="587">
                  <c:v>287.7</c:v>
                </c:pt>
                <c:pt idx="588">
                  <c:v>287.7</c:v>
                </c:pt>
                <c:pt idx="589">
                  <c:v>287.7</c:v>
                </c:pt>
                <c:pt idx="590">
                  <c:v>287.7</c:v>
                </c:pt>
                <c:pt idx="591">
                  <c:v>287.7</c:v>
                </c:pt>
                <c:pt idx="592">
                  <c:v>287.7</c:v>
                </c:pt>
                <c:pt idx="593">
                  <c:v>287.7</c:v>
                </c:pt>
                <c:pt idx="594">
                  <c:v>287.7</c:v>
                </c:pt>
                <c:pt idx="595">
                  <c:v>287.7</c:v>
                </c:pt>
                <c:pt idx="596">
                  <c:v>287.7</c:v>
                </c:pt>
                <c:pt idx="597">
                  <c:v>287.7</c:v>
                </c:pt>
                <c:pt idx="598">
                  <c:v>287.7</c:v>
                </c:pt>
                <c:pt idx="599">
                  <c:v>287.7</c:v>
                </c:pt>
                <c:pt idx="600">
                  <c:v>287.7</c:v>
                </c:pt>
                <c:pt idx="601">
                  <c:v>287.7</c:v>
                </c:pt>
                <c:pt idx="602">
                  <c:v>287.7</c:v>
                </c:pt>
                <c:pt idx="603">
                  <c:v>287.7</c:v>
                </c:pt>
                <c:pt idx="604">
                  <c:v>287.7</c:v>
                </c:pt>
                <c:pt idx="605">
                  <c:v>287.7</c:v>
                </c:pt>
                <c:pt idx="606">
                  <c:v>287.7</c:v>
                </c:pt>
                <c:pt idx="607">
                  <c:v>287.7</c:v>
                </c:pt>
                <c:pt idx="608">
                  <c:v>287.7</c:v>
                </c:pt>
                <c:pt idx="609">
                  <c:v>287.7</c:v>
                </c:pt>
                <c:pt idx="610">
                  <c:v>287.7</c:v>
                </c:pt>
                <c:pt idx="611">
                  <c:v>287.60000000000002</c:v>
                </c:pt>
                <c:pt idx="612">
                  <c:v>287.60000000000002</c:v>
                </c:pt>
                <c:pt idx="613">
                  <c:v>287.60000000000002</c:v>
                </c:pt>
                <c:pt idx="614">
                  <c:v>287.60000000000002</c:v>
                </c:pt>
                <c:pt idx="615">
                  <c:v>287.60000000000002</c:v>
                </c:pt>
                <c:pt idx="616">
                  <c:v>287.60000000000002</c:v>
                </c:pt>
                <c:pt idx="617">
                  <c:v>287.5</c:v>
                </c:pt>
                <c:pt idx="618">
                  <c:v>287.5</c:v>
                </c:pt>
                <c:pt idx="619">
                  <c:v>287.5</c:v>
                </c:pt>
                <c:pt idx="620">
                  <c:v>287.39999999999998</c:v>
                </c:pt>
                <c:pt idx="621">
                  <c:v>287.39999999999998</c:v>
                </c:pt>
                <c:pt idx="622">
                  <c:v>287.3</c:v>
                </c:pt>
                <c:pt idx="623">
                  <c:v>287.3</c:v>
                </c:pt>
                <c:pt idx="624">
                  <c:v>287.2</c:v>
                </c:pt>
                <c:pt idx="625">
                  <c:v>287.2</c:v>
                </c:pt>
                <c:pt idx="626">
                  <c:v>287.10000000000002</c:v>
                </c:pt>
                <c:pt idx="627">
                  <c:v>287</c:v>
                </c:pt>
                <c:pt idx="628">
                  <c:v>287</c:v>
                </c:pt>
                <c:pt idx="629">
                  <c:v>286.89999999999998</c:v>
                </c:pt>
                <c:pt idx="630">
                  <c:v>286.8</c:v>
                </c:pt>
                <c:pt idx="631">
                  <c:v>286.7</c:v>
                </c:pt>
                <c:pt idx="632">
                  <c:v>286.60000000000002</c:v>
                </c:pt>
                <c:pt idx="633">
                  <c:v>286.5</c:v>
                </c:pt>
                <c:pt idx="634">
                  <c:v>286.39999999999998</c:v>
                </c:pt>
                <c:pt idx="635">
                  <c:v>286.3</c:v>
                </c:pt>
                <c:pt idx="636">
                  <c:v>286.2</c:v>
                </c:pt>
                <c:pt idx="637">
                  <c:v>286</c:v>
                </c:pt>
                <c:pt idx="638">
                  <c:v>285.89999999999998</c:v>
                </c:pt>
                <c:pt idx="639">
                  <c:v>285.7</c:v>
                </c:pt>
                <c:pt idx="640">
                  <c:v>285.5</c:v>
                </c:pt>
                <c:pt idx="641">
                  <c:v>285.3</c:v>
                </c:pt>
                <c:pt idx="642">
                  <c:v>285.10000000000002</c:v>
                </c:pt>
                <c:pt idx="643">
                  <c:v>284.8</c:v>
                </c:pt>
                <c:pt idx="644">
                  <c:v>284.60000000000002</c:v>
                </c:pt>
                <c:pt idx="645">
                  <c:v>284.2</c:v>
                </c:pt>
                <c:pt idx="646">
                  <c:v>283.89999999999998</c:v>
                </c:pt>
                <c:pt idx="647">
                  <c:v>283.5</c:v>
                </c:pt>
                <c:pt idx="648">
                  <c:v>283</c:v>
                </c:pt>
                <c:pt idx="649">
                  <c:v>282.39999999999998</c:v>
                </c:pt>
                <c:pt idx="650">
                  <c:v>281.60000000000002</c:v>
                </c:pt>
                <c:pt idx="651">
                  <c:v>280.7</c:v>
                </c:pt>
                <c:pt idx="652">
                  <c:v>279.7</c:v>
                </c:pt>
                <c:pt idx="653">
                  <c:v>279</c:v>
                </c:pt>
                <c:pt idx="654">
                  <c:v>277</c:v>
                </c:pt>
                <c:pt idx="655">
                  <c:v>274.89999999999998</c:v>
                </c:pt>
                <c:pt idx="656">
                  <c:v>272.8</c:v>
                </c:pt>
                <c:pt idx="657">
                  <c:v>270.60000000000002</c:v>
                </c:pt>
                <c:pt idx="658">
                  <c:v>268.60000000000002</c:v>
                </c:pt>
                <c:pt idx="659">
                  <c:v>265.60000000000002</c:v>
                </c:pt>
                <c:pt idx="660">
                  <c:v>262</c:v>
                </c:pt>
                <c:pt idx="661">
                  <c:v>258.60000000000002</c:v>
                </c:pt>
                <c:pt idx="662">
                  <c:v>255.2</c:v>
                </c:pt>
                <c:pt idx="663">
                  <c:v>252</c:v>
                </c:pt>
                <c:pt idx="664">
                  <c:v>248.7</c:v>
                </c:pt>
                <c:pt idx="665">
                  <c:v>244.4</c:v>
                </c:pt>
                <c:pt idx="666">
                  <c:v>240.4</c:v>
                </c:pt>
                <c:pt idx="667">
                  <c:v>236.6</c:v>
                </c:pt>
                <c:pt idx="668">
                  <c:v>233.1</c:v>
                </c:pt>
                <c:pt idx="669">
                  <c:v>230</c:v>
                </c:pt>
                <c:pt idx="670">
                  <c:v>225.8</c:v>
                </c:pt>
                <c:pt idx="671">
                  <c:v>222.1</c:v>
                </c:pt>
                <c:pt idx="672">
                  <c:v>218.6</c:v>
                </c:pt>
                <c:pt idx="673">
                  <c:v>215.2</c:v>
                </c:pt>
                <c:pt idx="674">
                  <c:v>212.1</c:v>
                </c:pt>
                <c:pt idx="675">
                  <c:v>208.8</c:v>
                </c:pt>
                <c:pt idx="676">
                  <c:v>205.6</c:v>
                </c:pt>
                <c:pt idx="677">
                  <c:v>202.6</c:v>
                </c:pt>
                <c:pt idx="678">
                  <c:v>199.7</c:v>
                </c:pt>
                <c:pt idx="679">
                  <c:v>196.9</c:v>
                </c:pt>
                <c:pt idx="680">
                  <c:v>194.2</c:v>
                </c:pt>
                <c:pt idx="681">
                  <c:v>191.5</c:v>
                </c:pt>
                <c:pt idx="682">
                  <c:v>188.9</c:v>
                </c:pt>
                <c:pt idx="683">
                  <c:v>186.4</c:v>
                </c:pt>
                <c:pt idx="684">
                  <c:v>184.1</c:v>
                </c:pt>
                <c:pt idx="685">
                  <c:v>181.8</c:v>
                </c:pt>
                <c:pt idx="686">
                  <c:v>179.6</c:v>
                </c:pt>
                <c:pt idx="687">
                  <c:v>177.4</c:v>
                </c:pt>
                <c:pt idx="688">
                  <c:v>175.4</c:v>
                </c:pt>
                <c:pt idx="689">
                  <c:v>173.3</c:v>
                </c:pt>
                <c:pt idx="690">
                  <c:v>171.4</c:v>
                </c:pt>
                <c:pt idx="691">
                  <c:v>169.5</c:v>
                </c:pt>
                <c:pt idx="692">
                  <c:v>167.7</c:v>
                </c:pt>
                <c:pt idx="693">
                  <c:v>165.9</c:v>
                </c:pt>
                <c:pt idx="694">
                  <c:v>164.2</c:v>
                </c:pt>
                <c:pt idx="695">
                  <c:v>162.5</c:v>
                </c:pt>
                <c:pt idx="696">
                  <c:v>160.80000000000001</c:v>
                </c:pt>
                <c:pt idx="697">
                  <c:v>159.19999999999999</c:v>
                </c:pt>
                <c:pt idx="698">
                  <c:v>157.69999999999999</c:v>
                </c:pt>
                <c:pt idx="699">
                  <c:v>156.19999999999999</c:v>
                </c:pt>
                <c:pt idx="700">
                  <c:v>154.69999999999999</c:v>
                </c:pt>
                <c:pt idx="701">
                  <c:v>153.30000000000001</c:v>
                </c:pt>
                <c:pt idx="702">
                  <c:v>151.9</c:v>
                </c:pt>
                <c:pt idx="703">
                  <c:v>150.5</c:v>
                </c:pt>
                <c:pt idx="704">
                  <c:v>149.19999999999999</c:v>
                </c:pt>
                <c:pt idx="705">
                  <c:v>147.9</c:v>
                </c:pt>
                <c:pt idx="706">
                  <c:v>146.6</c:v>
                </c:pt>
                <c:pt idx="707">
                  <c:v>145.4</c:v>
                </c:pt>
                <c:pt idx="708">
                  <c:v>144.19999999999999</c:v>
                </c:pt>
                <c:pt idx="709">
                  <c:v>143</c:v>
                </c:pt>
                <c:pt idx="710">
                  <c:v>141.80000000000001</c:v>
                </c:pt>
                <c:pt idx="711">
                  <c:v>140.69999999999999</c:v>
                </c:pt>
                <c:pt idx="712">
                  <c:v>139.6</c:v>
                </c:pt>
                <c:pt idx="713">
                  <c:v>138.6</c:v>
                </c:pt>
                <c:pt idx="714">
                  <c:v>137.5</c:v>
                </c:pt>
                <c:pt idx="715">
                  <c:v>136.5</c:v>
                </c:pt>
                <c:pt idx="716">
                  <c:v>135.5</c:v>
                </c:pt>
                <c:pt idx="717">
                  <c:v>134.6</c:v>
                </c:pt>
                <c:pt idx="718">
                  <c:v>133.6</c:v>
                </c:pt>
                <c:pt idx="719">
                  <c:v>132.69999999999999</c:v>
                </c:pt>
                <c:pt idx="720">
                  <c:v>131.80000000000001</c:v>
                </c:pt>
                <c:pt idx="721">
                  <c:v>130.9</c:v>
                </c:pt>
                <c:pt idx="722">
                  <c:v>130.1</c:v>
                </c:pt>
                <c:pt idx="723">
                  <c:v>129.19999999999999</c:v>
                </c:pt>
                <c:pt idx="724">
                  <c:v>128.4</c:v>
                </c:pt>
                <c:pt idx="725">
                  <c:v>127.6</c:v>
                </c:pt>
                <c:pt idx="726">
                  <c:v>126.8</c:v>
                </c:pt>
                <c:pt idx="727">
                  <c:v>126.1</c:v>
                </c:pt>
                <c:pt idx="728">
                  <c:v>125.3</c:v>
                </c:pt>
                <c:pt idx="729">
                  <c:v>124.6</c:v>
                </c:pt>
                <c:pt idx="730">
                  <c:v>123.9</c:v>
                </c:pt>
                <c:pt idx="731">
                  <c:v>123.2</c:v>
                </c:pt>
                <c:pt idx="732">
                  <c:v>122.5</c:v>
                </c:pt>
                <c:pt idx="733">
                  <c:v>121.8</c:v>
                </c:pt>
                <c:pt idx="734">
                  <c:v>121.2</c:v>
                </c:pt>
                <c:pt idx="735">
                  <c:v>120.6</c:v>
                </c:pt>
                <c:pt idx="736">
                  <c:v>119.9</c:v>
                </c:pt>
                <c:pt idx="737">
                  <c:v>119.3</c:v>
                </c:pt>
                <c:pt idx="738">
                  <c:v>118.7</c:v>
                </c:pt>
                <c:pt idx="739">
                  <c:v>118.2</c:v>
                </c:pt>
                <c:pt idx="740">
                  <c:v>117.6</c:v>
                </c:pt>
                <c:pt idx="741">
                  <c:v>117.1</c:v>
                </c:pt>
                <c:pt idx="742">
                  <c:v>116.5</c:v>
                </c:pt>
                <c:pt idx="743">
                  <c:v>116</c:v>
                </c:pt>
                <c:pt idx="744">
                  <c:v>115.5</c:v>
                </c:pt>
                <c:pt idx="745">
                  <c:v>115</c:v>
                </c:pt>
                <c:pt idx="746">
                  <c:v>114.5</c:v>
                </c:pt>
                <c:pt idx="747">
                  <c:v>114</c:v>
                </c:pt>
                <c:pt idx="748">
                  <c:v>113.5</c:v>
                </c:pt>
                <c:pt idx="749">
                  <c:v>113.1</c:v>
                </c:pt>
                <c:pt idx="750">
                  <c:v>112.6</c:v>
                </c:pt>
                <c:pt idx="751">
                  <c:v>112.2</c:v>
                </c:pt>
                <c:pt idx="752">
                  <c:v>111.8</c:v>
                </c:pt>
                <c:pt idx="753">
                  <c:v>111.3</c:v>
                </c:pt>
                <c:pt idx="754">
                  <c:v>110.9</c:v>
                </c:pt>
                <c:pt idx="755">
                  <c:v>110.5</c:v>
                </c:pt>
                <c:pt idx="756">
                  <c:v>110.1</c:v>
                </c:pt>
                <c:pt idx="757">
                  <c:v>109.8</c:v>
                </c:pt>
                <c:pt idx="758">
                  <c:v>109.4</c:v>
                </c:pt>
                <c:pt idx="759">
                  <c:v>109</c:v>
                </c:pt>
                <c:pt idx="760">
                  <c:v>108.7</c:v>
                </c:pt>
                <c:pt idx="761">
                  <c:v>108.3</c:v>
                </c:pt>
                <c:pt idx="762">
                  <c:v>108</c:v>
                </c:pt>
                <c:pt idx="763">
                  <c:v>107.6</c:v>
                </c:pt>
                <c:pt idx="764">
                  <c:v>107.3</c:v>
                </c:pt>
                <c:pt idx="765">
                  <c:v>107</c:v>
                </c:pt>
                <c:pt idx="766">
                  <c:v>106.7</c:v>
                </c:pt>
                <c:pt idx="767">
                  <c:v>106.4</c:v>
                </c:pt>
                <c:pt idx="768">
                  <c:v>106.1</c:v>
                </c:pt>
                <c:pt idx="769">
                  <c:v>105.8</c:v>
                </c:pt>
                <c:pt idx="770">
                  <c:v>105.5</c:v>
                </c:pt>
                <c:pt idx="771">
                  <c:v>105.3</c:v>
                </c:pt>
                <c:pt idx="772">
                  <c:v>105</c:v>
                </c:pt>
                <c:pt idx="773">
                  <c:v>104.7</c:v>
                </c:pt>
                <c:pt idx="774">
                  <c:v>104.5</c:v>
                </c:pt>
                <c:pt idx="775">
                  <c:v>104.2</c:v>
                </c:pt>
                <c:pt idx="776">
                  <c:v>104</c:v>
                </c:pt>
                <c:pt idx="777">
                  <c:v>103.7</c:v>
                </c:pt>
                <c:pt idx="778">
                  <c:v>103.5</c:v>
                </c:pt>
                <c:pt idx="779">
                  <c:v>103.3</c:v>
                </c:pt>
                <c:pt idx="780">
                  <c:v>103.1</c:v>
                </c:pt>
                <c:pt idx="781">
                  <c:v>102.8</c:v>
                </c:pt>
                <c:pt idx="782">
                  <c:v>102.6</c:v>
                </c:pt>
                <c:pt idx="783">
                  <c:v>102.4</c:v>
                </c:pt>
                <c:pt idx="784">
                  <c:v>102.2</c:v>
                </c:pt>
                <c:pt idx="785">
                  <c:v>102</c:v>
                </c:pt>
                <c:pt idx="786">
                  <c:v>101.8</c:v>
                </c:pt>
                <c:pt idx="787">
                  <c:v>101.7</c:v>
                </c:pt>
                <c:pt idx="788">
                  <c:v>101.5</c:v>
                </c:pt>
                <c:pt idx="789">
                  <c:v>101.3</c:v>
                </c:pt>
                <c:pt idx="790">
                  <c:v>101.1</c:v>
                </c:pt>
                <c:pt idx="791">
                  <c:v>101</c:v>
                </c:pt>
                <c:pt idx="792">
                  <c:v>100.8</c:v>
                </c:pt>
                <c:pt idx="793">
                  <c:v>100.6</c:v>
                </c:pt>
                <c:pt idx="794">
                  <c:v>100.5</c:v>
                </c:pt>
                <c:pt idx="795">
                  <c:v>100.3</c:v>
                </c:pt>
                <c:pt idx="796">
                  <c:v>100.2</c:v>
                </c:pt>
                <c:pt idx="797">
                  <c:v>100.1</c:v>
                </c:pt>
                <c:pt idx="798">
                  <c:v>99.9</c:v>
                </c:pt>
                <c:pt idx="799">
                  <c:v>99.8</c:v>
                </c:pt>
                <c:pt idx="800">
                  <c:v>99.7</c:v>
                </c:pt>
                <c:pt idx="801">
                  <c:v>99.5</c:v>
                </c:pt>
                <c:pt idx="802">
                  <c:v>99.4</c:v>
                </c:pt>
                <c:pt idx="803">
                  <c:v>99.3</c:v>
                </c:pt>
                <c:pt idx="804">
                  <c:v>99.2</c:v>
                </c:pt>
                <c:pt idx="805">
                  <c:v>99.1</c:v>
                </c:pt>
                <c:pt idx="806">
                  <c:v>99</c:v>
                </c:pt>
                <c:pt idx="807">
                  <c:v>98.9</c:v>
                </c:pt>
                <c:pt idx="808">
                  <c:v>98.8</c:v>
                </c:pt>
                <c:pt idx="809">
                  <c:v>98.7</c:v>
                </c:pt>
                <c:pt idx="810">
                  <c:v>98.6</c:v>
                </c:pt>
                <c:pt idx="811">
                  <c:v>98.5</c:v>
                </c:pt>
                <c:pt idx="812">
                  <c:v>98.4</c:v>
                </c:pt>
                <c:pt idx="813">
                  <c:v>98.3</c:v>
                </c:pt>
                <c:pt idx="814">
                  <c:v>98.2</c:v>
                </c:pt>
                <c:pt idx="815">
                  <c:v>98.2</c:v>
                </c:pt>
                <c:pt idx="816">
                  <c:v>98.1</c:v>
                </c:pt>
                <c:pt idx="817">
                  <c:v>98</c:v>
                </c:pt>
                <c:pt idx="818">
                  <c:v>97.9</c:v>
                </c:pt>
                <c:pt idx="819">
                  <c:v>97.9</c:v>
                </c:pt>
                <c:pt idx="820">
                  <c:v>97.8</c:v>
                </c:pt>
                <c:pt idx="821">
                  <c:v>97.7</c:v>
                </c:pt>
                <c:pt idx="822">
                  <c:v>97.7</c:v>
                </c:pt>
                <c:pt idx="823">
                  <c:v>97.6</c:v>
                </c:pt>
                <c:pt idx="824">
                  <c:v>97.6</c:v>
                </c:pt>
                <c:pt idx="825">
                  <c:v>97.5</c:v>
                </c:pt>
                <c:pt idx="826">
                  <c:v>97.5</c:v>
                </c:pt>
                <c:pt idx="827">
                  <c:v>97.4</c:v>
                </c:pt>
                <c:pt idx="828">
                  <c:v>97.4</c:v>
                </c:pt>
                <c:pt idx="829">
                  <c:v>97.4</c:v>
                </c:pt>
                <c:pt idx="830">
                  <c:v>97.3</c:v>
                </c:pt>
                <c:pt idx="831">
                  <c:v>97.3</c:v>
                </c:pt>
                <c:pt idx="832">
                  <c:v>97.2</c:v>
                </c:pt>
                <c:pt idx="833">
                  <c:v>97.2</c:v>
                </c:pt>
                <c:pt idx="834">
                  <c:v>97.2</c:v>
                </c:pt>
                <c:pt idx="835">
                  <c:v>97.2</c:v>
                </c:pt>
                <c:pt idx="836">
                  <c:v>97.1</c:v>
                </c:pt>
                <c:pt idx="837">
                  <c:v>97.1</c:v>
                </c:pt>
                <c:pt idx="838">
                  <c:v>97.1</c:v>
                </c:pt>
                <c:pt idx="839">
                  <c:v>97.1</c:v>
                </c:pt>
                <c:pt idx="840">
                  <c:v>97.1</c:v>
                </c:pt>
                <c:pt idx="841">
                  <c:v>97</c:v>
                </c:pt>
                <c:pt idx="842">
                  <c:v>97</c:v>
                </c:pt>
                <c:pt idx="843">
                  <c:v>97</c:v>
                </c:pt>
                <c:pt idx="844">
                  <c:v>97</c:v>
                </c:pt>
                <c:pt idx="845">
                  <c:v>97</c:v>
                </c:pt>
                <c:pt idx="846">
                  <c:v>97</c:v>
                </c:pt>
                <c:pt idx="847">
                  <c:v>97</c:v>
                </c:pt>
                <c:pt idx="848">
                  <c:v>97</c:v>
                </c:pt>
                <c:pt idx="849">
                  <c:v>97</c:v>
                </c:pt>
                <c:pt idx="850">
                  <c:v>97</c:v>
                </c:pt>
                <c:pt idx="851">
                  <c:v>97</c:v>
                </c:pt>
                <c:pt idx="852">
                  <c:v>97</c:v>
                </c:pt>
                <c:pt idx="853">
                  <c:v>97</c:v>
                </c:pt>
                <c:pt idx="854">
                  <c:v>97</c:v>
                </c:pt>
                <c:pt idx="855">
                  <c:v>97.1</c:v>
                </c:pt>
                <c:pt idx="856">
                  <c:v>97.1</c:v>
                </c:pt>
                <c:pt idx="857">
                  <c:v>97.1</c:v>
                </c:pt>
                <c:pt idx="858">
                  <c:v>97.1</c:v>
                </c:pt>
                <c:pt idx="859">
                  <c:v>97.1</c:v>
                </c:pt>
                <c:pt idx="860">
                  <c:v>97.1</c:v>
                </c:pt>
                <c:pt idx="861">
                  <c:v>97.2</c:v>
                </c:pt>
                <c:pt idx="862">
                  <c:v>97.2</c:v>
                </c:pt>
                <c:pt idx="863">
                  <c:v>97.2</c:v>
                </c:pt>
                <c:pt idx="864">
                  <c:v>97.2</c:v>
                </c:pt>
                <c:pt idx="865">
                  <c:v>97.3</c:v>
                </c:pt>
                <c:pt idx="866">
                  <c:v>97.3</c:v>
                </c:pt>
                <c:pt idx="867">
                  <c:v>97.3</c:v>
                </c:pt>
                <c:pt idx="868">
                  <c:v>97.4</c:v>
                </c:pt>
                <c:pt idx="869">
                  <c:v>97.4</c:v>
                </c:pt>
                <c:pt idx="870">
                  <c:v>97.4</c:v>
                </c:pt>
                <c:pt idx="871">
                  <c:v>97.5</c:v>
                </c:pt>
                <c:pt idx="872">
                  <c:v>97.5</c:v>
                </c:pt>
                <c:pt idx="873">
                  <c:v>97.5</c:v>
                </c:pt>
                <c:pt idx="874">
                  <c:v>97.6</c:v>
                </c:pt>
                <c:pt idx="875">
                  <c:v>97.6</c:v>
                </c:pt>
                <c:pt idx="876">
                  <c:v>97.7</c:v>
                </c:pt>
                <c:pt idx="877">
                  <c:v>97.7</c:v>
                </c:pt>
                <c:pt idx="878">
                  <c:v>97.8</c:v>
                </c:pt>
                <c:pt idx="879">
                  <c:v>97.8</c:v>
                </c:pt>
                <c:pt idx="880">
                  <c:v>97.9</c:v>
                </c:pt>
                <c:pt idx="881">
                  <c:v>97.9</c:v>
                </c:pt>
                <c:pt idx="882">
                  <c:v>98</c:v>
                </c:pt>
                <c:pt idx="883">
                  <c:v>98</c:v>
                </c:pt>
                <c:pt idx="884">
                  <c:v>98.1</c:v>
                </c:pt>
                <c:pt idx="885">
                  <c:v>98.1</c:v>
                </c:pt>
                <c:pt idx="886">
                  <c:v>98.2</c:v>
                </c:pt>
                <c:pt idx="887">
                  <c:v>98.2</c:v>
                </c:pt>
                <c:pt idx="888">
                  <c:v>98.3</c:v>
                </c:pt>
                <c:pt idx="889">
                  <c:v>98.4</c:v>
                </c:pt>
                <c:pt idx="890">
                  <c:v>98.4</c:v>
                </c:pt>
                <c:pt idx="891">
                  <c:v>98.5</c:v>
                </c:pt>
                <c:pt idx="892">
                  <c:v>98.6</c:v>
                </c:pt>
                <c:pt idx="893">
                  <c:v>98.6</c:v>
                </c:pt>
                <c:pt idx="894">
                  <c:v>98.7</c:v>
                </c:pt>
                <c:pt idx="895">
                  <c:v>98.8</c:v>
                </c:pt>
                <c:pt idx="896">
                  <c:v>98.8</c:v>
                </c:pt>
                <c:pt idx="897">
                  <c:v>98.9</c:v>
                </c:pt>
                <c:pt idx="898">
                  <c:v>99</c:v>
                </c:pt>
                <c:pt idx="899">
                  <c:v>99</c:v>
                </c:pt>
                <c:pt idx="900">
                  <c:v>99.1</c:v>
                </c:pt>
                <c:pt idx="901">
                  <c:v>99.2</c:v>
                </c:pt>
                <c:pt idx="902">
                  <c:v>99.3</c:v>
                </c:pt>
                <c:pt idx="903">
                  <c:v>99.3</c:v>
                </c:pt>
                <c:pt idx="904">
                  <c:v>99.4</c:v>
                </c:pt>
                <c:pt idx="905">
                  <c:v>99.5</c:v>
                </c:pt>
                <c:pt idx="906">
                  <c:v>99.6</c:v>
                </c:pt>
                <c:pt idx="907">
                  <c:v>99.6</c:v>
                </c:pt>
                <c:pt idx="908">
                  <c:v>99.7</c:v>
                </c:pt>
                <c:pt idx="909">
                  <c:v>99.8</c:v>
                </c:pt>
                <c:pt idx="910">
                  <c:v>99.9</c:v>
                </c:pt>
                <c:pt idx="911">
                  <c:v>100</c:v>
                </c:pt>
                <c:pt idx="912">
                  <c:v>100.1</c:v>
                </c:pt>
                <c:pt idx="913">
                  <c:v>100.1</c:v>
                </c:pt>
                <c:pt idx="914">
                  <c:v>100.2</c:v>
                </c:pt>
                <c:pt idx="915">
                  <c:v>100.3</c:v>
                </c:pt>
                <c:pt idx="916">
                  <c:v>100.4</c:v>
                </c:pt>
                <c:pt idx="917">
                  <c:v>100.5</c:v>
                </c:pt>
                <c:pt idx="918">
                  <c:v>100.6</c:v>
                </c:pt>
                <c:pt idx="919">
                  <c:v>100.7</c:v>
                </c:pt>
                <c:pt idx="920">
                  <c:v>100.8</c:v>
                </c:pt>
                <c:pt idx="921">
                  <c:v>100.9</c:v>
                </c:pt>
                <c:pt idx="922">
                  <c:v>101</c:v>
                </c:pt>
                <c:pt idx="923">
                  <c:v>101.1</c:v>
                </c:pt>
                <c:pt idx="924">
                  <c:v>101.2</c:v>
                </c:pt>
                <c:pt idx="925">
                  <c:v>101.3</c:v>
                </c:pt>
                <c:pt idx="926">
                  <c:v>101.4</c:v>
                </c:pt>
                <c:pt idx="927">
                  <c:v>101.5</c:v>
                </c:pt>
                <c:pt idx="928">
                  <c:v>101.6</c:v>
                </c:pt>
                <c:pt idx="929">
                  <c:v>101.7</c:v>
                </c:pt>
                <c:pt idx="930">
                  <c:v>101.8</c:v>
                </c:pt>
                <c:pt idx="931">
                  <c:v>101.9</c:v>
                </c:pt>
                <c:pt idx="932">
                  <c:v>102</c:v>
                </c:pt>
                <c:pt idx="933">
                  <c:v>102.1</c:v>
                </c:pt>
                <c:pt idx="934">
                  <c:v>102.2</c:v>
                </c:pt>
                <c:pt idx="935">
                  <c:v>102.3</c:v>
                </c:pt>
                <c:pt idx="936">
                  <c:v>102.4</c:v>
                </c:pt>
                <c:pt idx="937">
                  <c:v>102.5</c:v>
                </c:pt>
                <c:pt idx="938">
                  <c:v>102.6</c:v>
                </c:pt>
                <c:pt idx="939">
                  <c:v>102.7</c:v>
                </c:pt>
                <c:pt idx="940">
                  <c:v>102.8</c:v>
                </c:pt>
                <c:pt idx="941">
                  <c:v>102.9</c:v>
                </c:pt>
                <c:pt idx="942">
                  <c:v>103.1</c:v>
                </c:pt>
                <c:pt idx="943">
                  <c:v>103.2</c:v>
                </c:pt>
                <c:pt idx="944">
                  <c:v>103.3</c:v>
                </c:pt>
                <c:pt idx="945">
                  <c:v>103.4</c:v>
                </c:pt>
                <c:pt idx="946">
                  <c:v>103.5</c:v>
                </c:pt>
                <c:pt idx="947">
                  <c:v>103.6</c:v>
                </c:pt>
                <c:pt idx="948">
                  <c:v>103.8</c:v>
                </c:pt>
                <c:pt idx="949">
                  <c:v>103.9</c:v>
                </c:pt>
                <c:pt idx="950">
                  <c:v>104</c:v>
                </c:pt>
                <c:pt idx="951">
                  <c:v>104.1</c:v>
                </c:pt>
                <c:pt idx="952">
                  <c:v>104.2</c:v>
                </c:pt>
                <c:pt idx="953">
                  <c:v>104.4</c:v>
                </c:pt>
                <c:pt idx="954">
                  <c:v>104.5</c:v>
                </c:pt>
                <c:pt idx="955">
                  <c:v>104.6</c:v>
                </c:pt>
                <c:pt idx="956">
                  <c:v>104.7</c:v>
                </c:pt>
                <c:pt idx="957">
                  <c:v>104.9</c:v>
                </c:pt>
                <c:pt idx="958">
                  <c:v>105</c:v>
                </c:pt>
                <c:pt idx="959">
                  <c:v>105.1</c:v>
                </c:pt>
                <c:pt idx="960">
                  <c:v>105.3</c:v>
                </c:pt>
                <c:pt idx="961">
                  <c:v>105.4</c:v>
                </c:pt>
                <c:pt idx="962">
                  <c:v>105.5</c:v>
                </c:pt>
                <c:pt idx="963">
                  <c:v>105.7</c:v>
                </c:pt>
                <c:pt idx="964">
                  <c:v>105.8</c:v>
                </c:pt>
                <c:pt idx="965">
                  <c:v>105.9</c:v>
                </c:pt>
                <c:pt idx="966">
                  <c:v>106.1</c:v>
                </c:pt>
                <c:pt idx="967">
                  <c:v>106.2</c:v>
                </c:pt>
                <c:pt idx="968">
                  <c:v>106.3</c:v>
                </c:pt>
                <c:pt idx="969">
                  <c:v>106.5</c:v>
                </c:pt>
                <c:pt idx="970">
                  <c:v>106.6</c:v>
                </c:pt>
                <c:pt idx="971">
                  <c:v>106.7</c:v>
                </c:pt>
                <c:pt idx="972">
                  <c:v>106.9</c:v>
                </c:pt>
                <c:pt idx="973">
                  <c:v>107</c:v>
                </c:pt>
                <c:pt idx="974">
                  <c:v>107.2</c:v>
                </c:pt>
                <c:pt idx="975">
                  <c:v>107.3</c:v>
                </c:pt>
                <c:pt idx="976">
                  <c:v>107.5</c:v>
                </c:pt>
                <c:pt idx="977">
                  <c:v>107.6</c:v>
                </c:pt>
                <c:pt idx="978">
                  <c:v>107.8</c:v>
                </c:pt>
                <c:pt idx="979">
                  <c:v>107.9</c:v>
                </c:pt>
                <c:pt idx="980">
                  <c:v>108</c:v>
                </c:pt>
                <c:pt idx="981">
                  <c:v>108.2</c:v>
                </c:pt>
                <c:pt idx="982">
                  <c:v>108.3</c:v>
                </c:pt>
                <c:pt idx="983">
                  <c:v>108.5</c:v>
                </c:pt>
                <c:pt idx="984">
                  <c:v>108.7</c:v>
                </c:pt>
                <c:pt idx="985">
                  <c:v>108.8</c:v>
                </c:pt>
                <c:pt idx="986">
                  <c:v>109</c:v>
                </c:pt>
                <c:pt idx="987">
                  <c:v>109.1</c:v>
                </c:pt>
                <c:pt idx="988">
                  <c:v>109.3</c:v>
                </c:pt>
                <c:pt idx="989">
                  <c:v>109.4</c:v>
                </c:pt>
                <c:pt idx="990">
                  <c:v>109.6</c:v>
                </c:pt>
                <c:pt idx="991">
                  <c:v>109.8</c:v>
                </c:pt>
                <c:pt idx="992">
                  <c:v>109.9</c:v>
                </c:pt>
                <c:pt idx="993">
                  <c:v>110.1</c:v>
                </c:pt>
                <c:pt idx="994">
                  <c:v>110.2</c:v>
                </c:pt>
                <c:pt idx="995">
                  <c:v>110.4</c:v>
                </c:pt>
                <c:pt idx="996">
                  <c:v>110.6</c:v>
                </c:pt>
                <c:pt idx="997">
                  <c:v>110.7</c:v>
                </c:pt>
                <c:pt idx="998">
                  <c:v>110.9</c:v>
                </c:pt>
                <c:pt idx="999">
                  <c:v>111.1</c:v>
                </c:pt>
                <c:pt idx="1000">
                  <c:v>111.3</c:v>
                </c:pt>
                <c:pt idx="1001">
                  <c:v>111.4</c:v>
                </c:pt>
                <c:pt idx="1002">
                  <c:v>111.6</c:v>
                </c:pt>
                <c:pt idx="1003">
                  <c:v>111.8</c:v>
                </c:pt>
                <c:pt idx="1004">
                  <c:v>112</c:v>
                </c:pt>
                <c:pt idx="1005">
                  <c:v>112.1</c:v>
                </c:pt>
                <c:pt idx="1006">
                  <c:v>112.3</c:v>
                </c:pt>
                <c:pt idx="1007">
                  <c:v>112.5</c:v>
                </c:pt>
                <c:pt idx="1008">
                  <c:v>112.7</c:v>
                </c:pt>
                <c:pt idx="1009">
                  <c:v>112.9</c:v>
                </c:pt>
                <c:pt idx="1010">
                  <c:v>113</c:v>
                </c:pt>
                <c:pt idx="1011">
                  <c:v>113.2</c:v>
                </c:pt>
                <c:pt idx="1012">
                  <c:v>113.4</c:v>
                </c:pt>
                <c:pt idx="1013">
                  <c:v>113.6</c:v>
                </c:pt>
                <c:pt idx="1014">
                  <c:v>113.8</c:v>
                </c:pt>
                <c:pt idx="1015">
                  <c:v>114</c:v>
                </c:pt>
                <c:pt idx="1016">
                  <c:v>114.2</c:v>
                </c:pt>
                <c:pt idx="1017">
                  <c:v>114.4</c:v>
                </c:pt>
                <c:pt idx="1018">
                  <c:v>114.6</c:v>
                </c:pt>
                <c:pt idx="1019">
                  <c:v>114.8</c:v>
                </c:pt>
                <c:pt idx="1020">
                  <c:v>115</c:v>
                </c:pt>
                <c:pt idx="1021">
                  <c:v>115.2</c:v>
                </c:pt>
                <c:pt idx="1022">
                  <c:v>115.4</c:v>
                </c:pt>
                <c:pt idx="1023">
                  <c:v>115.6</c:v>
                </c:pt>
                <c:pt idx="1024">
                  <c:v>115.8</c:v>
                </c:pt>
                <c:pt idx="1025">
                  <c:v>116</c:v>
                </c:pt>
                <c:pt idx="1026">
                  <c:v>116.2</c:v>
                </c:pt>
                <c:pt idx="1027">
                  <c:v>116.5</c:v>
                </c:pt>
                <c:pt idx="1028">
                  <c:v>116.7</c:v>
                </c:pt>
                <c:pt idx="1029">
                  <c:v>116.9</c:v>
                </c:pt>
                <c:pt idx="1030">
                  <c:v>117.1</c:v>
                </c:pt>
                <c:pt idx="1031">
                  <c:v>117.3</c:v>
                </c:pt>
                <c:pt idx="1032">
                  <c:v>117.6</c:v>
                </c:pt>
                <c:pt idx="1033">
                  <c:v>117.8</c:v>
                </c:pt>
                <c:pt idx="1034">
                  <c:v>118</c:v>
                </c:pt>
                <c:pt idx="1035">
                  <c:v>118.2</c:v>
                </c:pt>
                <c:pt idx="1036">
                  <c:v>118.5</c:v>
                </c:pt>
                <c:pt idx="1037">
                  <c:v>118.7</c:v>
                </c:pt>
                <c:pt idx="1038">
                  <c:v>119</c:v>
                </c:pt>
                <c:pt idx="1039">
                  <c:v>119.2</c:v>
                </c:pt>
                <c:pt idx="1040">
                  <c:v>119.4</c:v>
                </c:pt>
                <c:pt idx="1041">
                  <c:v>119.7</c:v>
                </c:pt>
                <c:pt idx="1042">
                  <c:v>119.9</c:v>
                </c:pt>
                <c:pt idx="1043">
                  <c:v>120.2</c:v>
                </c:pt>
                <c:pt idx="1044">
                  <c:v>120.5</c:v>
                </c:pt>
                <c:pt idx="1045">
                  <c:v>120.7</c:v>
                </c:pt>
                <c:pt idx="1046">
                  <c:v>121</c:v>
                </c:pt>
                <c:pt idx="1047">
                  <c:v>121.2</c:v>
                </c:pt>
                <c:pt idx="1048">
                  <c:v>121.5</c:v>
                </c:pt>
                <c:pt idx="1049">
                  <c:v>121.8</c:v>
                </c:pt>
                <c:pt idx="1050">
                  <c:v>122.1</c:v>
                </c:pt>
                <c:pt idx="1051">
                  <c:v>122.3</c:v>
                </c:pt>
                <c:pt idx="1052">
                  <c:v>122.6</c:v>
                </c:pt>
                <c:pt idx="1053">
                  <c:v>122.9</c:v>
                </c:pt>
                <c:pt idx="1054">
                  <c:v>123.2</c:v>
                </c:pt>
                <c:pt idx="1055">
                  <c:v>123.5</c:v>
                </c:pt>
                <c:pt idx="1056">
                  <c:v>123.8</c:v>
                </c:pt>
                <c:pt idx="1057">
                  <c:v>124.1</c:v>
                </c:pt>
                <c:pt idx="1058">
                  <c:v>124.4</c:v>
                </c:pt>
                <c:pt idx="1059">
                  <c:v>124.7</c:v>
                </c:pt>
                <c:pt idx="1060">
                  <c:v>125</c:v>
                </c:pt>
                <c:pt idx="1061">
                  <c:v>125.3</c:v>
                </c:pt>
                <c:pt idx="1062">
                  <c:v>125.7</c:v>
                </c:pt>
                <c:pt idx="1063">
                  <c:v>126</c:v>
                </c:pt>
                <c:pt idx="1064">
                  <c:v>126.3</c:v>
                </c:pt>
                <c:pt idx="1065">
                  <c:v>126.7</c:v>
                </c:pt>
                <c:pt idx="1066">
                  <c:v>127</c:v>
                </c:pt>
                <c:pt idx="1067">
                  <c:v>127.4</c:v>
                </c:pt>
                <c:pt idx="1068">
                  <c:v>127.7</c:v>
                </c:pt>
                <c:pt idx="1069">
                  <c:v>128.1</c:v>
                </c:pt>
                <c:pt idx="1070">
                  <c:v>128.5</c:v>
                </c:pt>
                <c:pt idx="1071">
                  <c:v>128.80000000000001</c:v>
                </c:pt>
                <c:pt idx="1072">
                  <c:v>129.19999999999999</c:v>
                </c:pt>
                <c:pt idx="1073">
                  <c:v>129.6</c:v>
                </c:pt>
                <c:pt idx="1074">
                  <c:v>130</c:v>
                </c:pt>
                <c:pt idx="1075">
                  <c:v>130.4</c:v>
                </c:pt>
                <c:pt idx="1076">
                  <c:v>130.80000000000001</c:v>
                </c:pt>
                <c:pt idx="1077">
                  <c:v>131.19999999999999</c:v>
                </c:pt>
                <c:pt idx="1078">
                  <c:v>131.6</c:v>
                </c:pt>
                <c:pt idx="1079">
                  <c:v>132.1</c:v>
                </c:pt>
                <c:pt idx="1080">
                  <c:v>132.5</c:v>
                </c:pt>
                <c:pt idx="1081">
                  <c:v>133</c:v>
                </c:pt>
                <c:pt idx="1082">
                  <c:v>133.4</c:v>
                </c:pt>
                <c:pt idx="1083">
                  <c:v>133.9</c:v>
                </c:pt>
                <c:pt idx="1084">
                  <c:v>134.4</c:v>
                </c:pt>
                <c:pt idx="1085">
                  <c:v>134.9</c:v>
                </c:pt>
                <c:pt idx="1086">
                  <c:v>135.4</c:v>
                </c:pt>
                <c:pt idx="1087">
                  <c:v>135.9</c:v>
                </c:pt>
                <c:pt idx="1088">
                  <c:v>136.4</c:v>
                </c:pt>
                <c:pt idx="1089">
                  <c:v>136.9</c:v>
                </c:pt>
                <c:pt idx="1090">
                  <c:v>137.5</c:v>
                </c:pt>
                <c:pt idx="1091">
                  <c:v>138</c:v>
                </c:pt>
                <c:pt idx="1092">
                  <c:v>138.6</c:v>
                </c:pt>
                <c:pt idx="1093">
                  <c:v>139.19999999999999</c:v>
                </c:pt>
                <c:pt idx="1094">
                  <c:v>139.80000000000001</c:v>
                </c:pt>
                <c:pt idx="1095">
                  <c:v>140.4</c:v>
                </c:pt>
                <c:pt idx="1096">
                  <c:v>141</c:v>
                </c:pt>
                <c:pt idx="1097">
                  <c:v>141.69999999999999</c:v>
                </c:pt>
                <c:pt idx="1098">
                  <c:v>142.4</c:v>
                </c:pt>
                <c:pt idx="1099">
                  <c:v>143</c:v>
                </c:pt>
                <c:pt idx="1100">
                  <c:v>143.69999999999999</c:v>
                </c:pt>
                <c:pt idx="1101">
                  <c:v>144.5</c:v>
                </c:pt>
                <c:pt idx="1102">
                  <c:v>145.19999999999999</c:v>
                </c:pt>
                <c:pt idx="1103">
                  <c:v>146</c:v>
                </c:pt>
                <c:pt idx="1104">
                  <c:v>146.69999999999999</c:v>
                </c:pt>
                <c:pt idx="1105">
                  <c:v>147.5</c:v>
                </c:pt>
                <c:pt idx="1106">
                  <c:v>148.4</c:v>
                </c:pt>
                <c:pt idx="1107">
                  <c:v>149.19999999999999</c:v>
                </c:pt>
                <c:pt idx="1108">
                  <c:v>150.1</c:v>
                </c:pt>
                <c:pt idx="1109">
                  <c:v>151</c:v>
                </c:pt>
                <c:pt idx="1110">
                  <c:v>151.9</c:v>
                </c:pt>
                <c:pt idx="1111">
                  <c:v>152.9</c:v>
                </c:pt>
                <c:pt idx="1112">
                  <c:v>153.9</c:v>
                </c:pt>
                <c:pt idx="1113">
                  <c:v>154.9</c:v>
                </c:pt>
                <c:pt idx="1114">
                  <c:v>156</c:v>
                </c:pt>
                <c:pt idx="1115">
                  <c:v>157.1</c:v>
                </c:pt>
                <c:pt idx="1116">
                  <c:v>158.19999999999999</c:v>
                </c:pt>
                <c:pt idx="1117">
                  <c:v>159.4</c:v>
                </c:pt>
                <c:pt idx="1118">
                  <c:v>160.6</c:v>
                </c:pt>
                <c:pt idx="1119">
                  <c:v>161.80000000000001</c:v>
                </c:pt>
                <c:pt idx="1120">
                  <c:v>163.1</c:v>
                </c:pt>
                <c:pt idx="1121">
                  <c:v>164.5</c:v>
                </c:pt>
                <c:pt idx="1122">
                  <c:v>165.9</c:v>
                </c:pt>
                <c:pt idx="1123">
                  <c:v>167.3</c:v>
                </c:pt>
                <c:pt idx="1124">
                  <c:v>168.8</c:v>
                </c:pt>
                <c:pt idx="1125">
                  <c:v>170.4</c:v>
                </c:pt>
                <c:pt idx="1126">
                  <c:v>172</c:v>
                </c:pt>
                <c:pt idx="1127">
                  <c:v>173.6</c:v>
                </c:pt>
                <c:pt idx="1128">
                  <c:v>175.4</c:v>
                </c:pt>
                <c:pt idx="1129">
                  <c:v>177.2</c:v>
                </c:pt>
                <c:pt idx="1130">
                  <c:v>179.1</c:v>
                </c:pt>
                <c:pt idx="1131">
                  <c:v>181</c:v>
                </c:pt>
                <c:pt idx="1132">
                  <c:v>183</c:v>
                </c:pt>
                <c:pt idx="1133">
                  <c:v>185.1</c:v>
                </c:pt>
                <c:pt idx="1134">
                  <c:v>187.3</c:v>
                </c:pt>
                <c:pt idx="1135">
                  <c:v>189.6</c:v>
                </c:pt>
                <c:pt idx="1136">
                  <c:v>191.9</c:v>
                </c:pt>
                <c:pt idx="1137">
                  <c:v>194.4</c:v>
                </c:pt>
                <c:pt idx="1138">
                  <c:v>196.9</c:v>
                </c:pt>
                <c:pt idx="1139">
                  <c:v>199.6</c:v>
                </c:pt>
                <c:pt idx="1140">
                  <c:v>202.3</c:v>
                </c:pt>
                <c:pt idx="1141">
                  <c:v>205.2</c:v>
                </c:pt>
                <c:pt idx="1142">
                  <c:v>208.1</c:v>
                </c:pt>
                <c:pt idx="1143">
                  <c:v>211.1</c:v>
                </c:pt>
                <c:pt idx="1144">
                  <c:v>214.3</c:v>
                </c:pt>
                <c:pt idx="1145">
                  <c:v>217.5</c:v>
                </c:pt>
                <c:pt idx="1146">
                  <c:v>220.9</c:v>
                </c:pt>
                <c:pt idx="1147">
                  <c:v>224.3</c:v>
                </c:pt>
                <c:pt idx="1148">
                  <c:v>227.8</c:v>
                </c:pt>
                <c:pt idx="1149">
                  <c:v>231.4</c:v>
                </c:pt>
                <c:pt idx="1150">
                  <c:v>235</c:v>
                </c:pt>
                <c:pt idx="1151">
                  <c:v>238.7</c:v>
                </c:pt>
                <c:pt idx="1152">
                  <c:v>242.4</c:v>
                </c:pt>
                <c:pt idx="1153">
                  <c:v>246.2</c:v>
                </c:pt>
                <c:pt idx="1154">
                  <c:v>249.9</c:v>
                </c:pt>
                <c:pt idx="1155">
                  <c:v>253.5</c:v>
                </c:pt>
                <c:pt idx="1156">
                  <c:v>257.10000000000002</c:v>
                </c:pt>
                <c:pt idx="1157">
                  <c:v>260.5</c:v>
                </c:pt>
                <c:pt idx="1158">
                  <c:v>263.8</c:v>
                </c:pt>
                <c:pt idx="1159">
                  <c:v>266.8</c:v>
                </c:pt>
                <c:pt idx="1160">
                  <c:v>269.60000000000002</c:v>
                </c:pt>
                <c:pt idx="1161">
                  <c:v>272.2</c:v>
                </c:pt>
                <c:pt idx="1162">
                  <c:v>274.39999999999998</c:v>
                </c:pt>
                <c:pt idx="1163">
                  <c:v>276.39999999999998</c:v>
                </c:pt>
                <c:pt idx="1164">
                  <c:v>278</c:v>
                </c:pt>
                <c:pt idx="1165">
                  <c:v>279.3</c:v>
                </c:pt>
                <c:pt idx="1166">
                  <c:v>280.39999999999998</c:v>
                </c:pt>
                <c:pt idx="1167">
                  <c:v>281.3</c:v>
                </c:pt>
                <c:pt idx="1168">
                  <c:v>281.89999999999998</c:v>
                </c:pt>
                <c:pt idx="1169">
                  <c:v>282.39999999999998</c:v>
                </c:pt>
                <c:pt idx="1170">
                  <c:v>282.89999999999998</c:v>
                </c:pt>
                <c:pt idx="1171">
                  <c:v>283.2</c:v>
                </c:pt>
                <c:pt idx="1172">
                  <c:v>283.5</c:v>
                </c:pt>
                <c:pt idx="1173">
                  <c:v>283.8</c:v>
                </c:pt>
                <c:pt idx="1174">
                  <c:v>284</c:v>
                </c:pt>
                <c:pt idx="1175">
                  <c:v>284.10000000000002</c:v>
                </c:pt>
                <c:pt idx="1176">
                  <c:v>284.2</c:v>
                </c:pt>
                <c:pt idx="1177">
                  <c:v>284.2</c:v>
                </c:pt>
                <c:pt idx="1178">
                  <c:v>284.2</c:v>
                </c:pt>
                <c:pt idx="1179">
                  <c:v>284.2</c:v>
                </c:pt>
                <c:pt idx="1180">
                  <c:v>284.10000000000002</c:v>
                </c:pt>
                <c:pt idx="1181">
                  <c:v>284</c:v>
                </c:pt>
                <c:pt idx="1182">
                  <c:v>283.8</c:v>
                </c:pt>
                <c:pt idx="1183">
                  <c:v>283.60000000000002</c:v>
                </c:pt>
                <c:pt idx="1184">
                  <c:v>283.3</c:v>
                </c:pt>
                <c:pt idx="1185">
                  <c:v>282.89999999999998</c:v>
                </c:pt>
                <c:pt idx="1186">
                  <c:v>282.5</c:v>
                </c:pt>
                <c:pt idx="1187">
                  <c:v>282</c:v>
                </c:pt>
                <c:pt idx="1188">
                  <c:v>281.39999999999998</c:v>
                </c:pt>
                <c:pt idx="1189">
                  <c:v>280.60000000000002</c:v>
                </c:pt>
                <c:pt idx="1190">
                  <c:v>279.5</c:v>
                </c:pt>
              </c:numCache>
            </c:numRef>
          </c:yVal>
          <c:smooth val="1"/>
          <c:extLst>
            <c:ext xmlns:c16="http://schemas.microsoft.com/office/drawing/2014/chart" uri="{C3380CC4-5D6E-409C-BE32-E72D297353CC}">
              <c16:uniqueId val="{00000002-C99E-4E9D-81F8-05E2D6EC0CA5}"/>
            </c:ext>
          </c:extLst>
        </c:ser>
        <c:dLbls>
          <c:showLegendKey val="0"/>
          <c:showVal val="0"/>
          <c:showCatName val="0"/>
          <c:showSerName val="0"/>
          <c:showPercent val="0"/>
          <c:showBubbleSize val="0"/>
        </c:dLbls>
        <c:axId val="-2112370216"/>
        <c:axId val="-2107469800"/>
        <c:extLst/>
      </c:scatterChart>
      <c:valAx>
        <c:axId val="-2112370216"/>
        <c:scaling>
          <c:orientation val="minMax"/>
          <c:max val="120"/>
          <c:min val="0"/>
        </c:scaling>
        <c:delete val="0"/>
        <c:axPos val="b"/>
        <c:majorGridlines/>
        <c:title>
          <c:tx>
            <c:rich>
              <a:bodyPr/>
              <a:lstStyle/>
              <a:p>
                <a:pPr>
                  <a:defRPr sz="1600"/>
                </a:pPr>
                <a:r>
                  <a:rPr lang="en-US" sz="1600"/>
                  <a:t>Frequency, GHz</a:t>
                </a:r>
              </a:p>
            </c:rich>
          </c:tx>
          <c:layout>
            <c:manualLayout>
              <c:xMode val="edge"/>
              <c:yMode val="edge"/>
              <c:x val="0.39077235954218953"/>
              <c:y val="0.93295817135734793"/>
            </c:manualLayout>
          </c:layout>
          <c:overlay val="0"/>
        </c:title>
        <c:numFmt formatCode="0" sourceLinked="0"/>
        <c:majorTickMark val="out"/>
        <c:minorTickMark val="in"/>
        <c:tickLblPos val="nextTo"/>
        <c:spPr>
          <a:ln/>
        </c:spPr>
        <c:txPr>
          <a:bodyPr/>
          <a:lstStyle/>
          <a:p>
            <a:pPr>
              <a:defRPr sz="1400" b="1" i="0" baseline="0"/>
            </a:pPr>
            <a:endParaRPr lang="en-US"/>
          </a:p>
        </c:txPr>
        <c:crossAx val="-2107469800"/>
        <c:crosses val="autoZero"/>
        <c:crossBetween val="midCat"/>
        <c:majorUnit val="10"/>
        <c:minorUnit val="5"/>
      </c:valAx>
      <c:valAx>
        <c:axId val="-2107469800"/>
        <c:scaling>
          <c:orientation val="minMax"/>
          <c:max val="300"/>
        </c:scaling>
        <c:delete val="0"/>
        <c:axPos val="l"/>
        <c:majorGridlines/>
        <c:numFmt formatCode="General" sourceLinked="1"/>
        <c:majorTickMark val="out"/>
        <c:minorTickMark val="none"/>
        <c:tickLblPos val="nextTo"/>
        <c:txPr>
          <a:bodyPr/>
          <a:lstStyle/>
          <a:p>
            <a:pPr>
              <a:defRPr sz="1400" b="1" i="0" baseline="0"/>
            </a:pPr>
            <a:endParaRPr lang="en-US"/>
          </a:p>
        </c:txPr>
        <c:crossAx val="-2112370216"/>
        <c:crosses val="autoZero"/>
        <c:crossBetween val="midCat"/>
      </c:valAx>
    </c:plotArea>
    <c:legend>
      <c:legendPos val="r"/>
      <c:layout>
        <c:manualLayout>
          <c:xMode val="edge"/>
          <c:yMode val="edge"/>
          <c:x val="0.10570285052002901"/>
          <c:y val="9.9711319731752998E-2"/>
          <c:w val="0.12725901890616076"/>
          <c:h val="0.19547097012777054"/>
        </c:manualLayout>
      </c:layout>
      <c:overlay val="0"/>
      <c:spPr>
        <a:solidFill>
          <a:schemeClr val="bg1"/>
        </a:solidFill>
      </c:spPr>
      <c:txPr>
        <a:bodyPr/>
        <a:lstStyle/>
        <a:p>
          <a:pPr>
            <a:defRPr sz="1400" b="1" i="0"/>
          </a:pPr>
          <a:endParaRPr lang="en-US"/>
        </a:p>
      </c:txPr>
    </c:legend>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chemeClr val="tx1"/>
                </a:solidFill>
              </a:rPr>
              <a:t>Tspill vs. Frequency, Elevation Angle  [3]</a:t>
            </a:r>
          </a:p>
          <a:p>
            <a:pPr>
              <a:defRPr/>
            </a:pPr>
            <a:r>
              <a:rPr lang="en-US" sz="1050" b="1">
                <a:solidFill>
                  <a:schemeClr val="accent6">
                    <a:lumMod val="75000"/>
                  </a:schemeClr>
                </a:solidFill>
              </a:rPr>
              <a:t>CSIRO</a:t>
            </a:r>
            <a:r>
              <a:rPr lang="en-US" sz="1050" b="1" baseline="0">
                <a:solidFill>
                  <a:schemeClr val="accent6">
                    <a:lumMod val="75000"/>
                  </a:schemeClr>
                </a:solidFill>
              </a:rPr>
              <a:t> Band 2 Feed (2022)</a:t>
            </a:r>
            <a:endParaRPr lang="en-US" sz="1050" b="1">
              <a:solidFill>
                <a:schemeClr val="accent6">
                  <a:lumMod val="75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15 Deg</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Antenna!$V$6:$V$11</c:f>
              <c:numCache>
                <c:formatCode>0.00</c:formatCode>
                <c:ptCount val="6"/>
                <c:pt idx="0">
                  <c:v>3.5</c:v>
                </c:pt>
                <c:pt idx="1">
                  <c:v>4.8</c:v>
                </c:pt>
                <c:pt idx="2">
                  <c:v>5.8</c:v>
                </c:pt>
                <c:pt idx="3">
                  <c:v>7.4</c:v>
                </c:pt>
                <c:pt idx="4">
                  <c:v>9.6</c:v>
                </c:pt>
                <c:pt idx="5">
                  <c:v>12.3</c:v>
                </c:pt>
              </c:numCache>
            </c:numRef>
          </c:xVal>
          <c:yVal>
            <c:numRef>
              <c:f>Antenna!$W$6:$W$11</c:f>
              <c:numCache>
                <c:formatCode>0.00</c:formatCode>
                <c:ptCount val="6"/>
                <c:pt idx="0">
                  <c:v>1.36</c:v>
                </c:pt>
                <c:pt idx="1">
                  <c:v>0.77</c:v>
                </c:pt>
                <c:pt idx="2">
                  <c:v>0.46</c:v>
                </c:pt>
                <c:pt idx="3">
                  <c:v>0.44</c:v>
                </c:pt>
                <c:pt idx="4">
                  <c:v>0.32</c:v>
                </c:pt>
                <c:pt idx="5">
                  <c:v>0.27</c:v>
                </c:pt>
              </c:numCache>
            </c:numRef>
          </c:yVal>
          <c:smooth val="1"/>
          <c:extLst>
            <c:ext xmlns:c16="http://schemas.microsoft.com/office/drawing/2014/chart" uri="{C3380CC4-5D6E-409C-BE32-E72D297353CC}">
              <c16:uniqueId val="{00000000-EBC9-425F-8B9F-FDA997D2A39C}"/>
            </c:ext>
          </c:extLst>
        </c:ser>
        <c:ser>
          <c:idx val="1"/>
          <c:order val="1"/>
          <c:tx>
            <c:v>30 Deg</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Antenna!$V$6:$V$11</c:f>
              <c:numCache>
                <c:formatCode>0.00</c:formatCode>
                <c:ptCount val="6"/>
                <c:pt idx="0">
                  <c:v>3.5</c:v>
                </c:pt>
                <c:pt idx="1">
                  <c:v>4.8</c:v>
                </c:pt>
                <c:pt idx="2">
                  <c:v>5.8</c:v>
                </c:pt>
                <c:pt idx="3">
                  <c:v>7.4</c:v>
                </c:pt>
                <c:pt idx="4">
                  <c:v>9.6</c:v>
                </c:pt>
                <c:pt idx="5">
                  <c:v>12.3</c:v>
                </c:pt>
              </c:numCache>
            </c:numRef>
          </c:xVal>
          <c:yVal>
            <c:numRef>
              <c:f>Antenna!$X$6:$X$11</c:f>
              <c:numCache>
                <c:formatCode>0.00</c:formatCode>
                <c:ptCount val="6"/>
                <c:pt idx="0">
                  <c:v>1.93</c:v>
                </c:pt>
                <c:pt idx="1">
                  <c:v>1.17</c:v>
                </c:pt>
                <c:pt idx="2">
                  <c:v>0.79</c:v>
                </c:pt>
                <c:pt idx="3">
                  <c:v>0.69</c:v>
                </c:pt>
                <c:pt idx="4">
                  <c:v>0.57999999999999996</c:v>
                </c:pt>
                <c:pt idx="5">
                  <c:v>0.4</c:v>
                </c:pt>
              </c:numCache>
            </c:numRef>
          </c:yVal>
          <c:smooth val="1"/>
          <c:extLst>
            <c:ext xmlns:c16="http://schemas.microsoft.com/office/drawing/2014/chart" uri="{C3380CC4-5D6E-409C-BE32-E72D297353CC}">
              <c16:uniqueId val="{00000001-EBC9-425F-8B9F-FDA997D2A39C}"/>
            </c:ext>
          </c:extLst>
        </c:ser>
        <c:ser>
          <c:idx val="2"/>
          <c:order val="2"/>
          <c:tx>
            <c:v>45 Deg</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Antenna!$V$6:$V$11</c:f>
              <c:numCache>
                <c:formatCode>0.00</c:formatCode>
                <c:ptCount val="6"/>
                <c:pt idx="0">
                  <c:v>3.5</c:v>
                </c:pt>
                <c:pt idx="1">
                  <c:v>4.8</c:v>
                </c:pt>
                <c:pt idx="2">
                  <c:v>5.8</c:v>
                </c:pt>
                <c:pt idx="3">
                  <c:v>7.4</c:v>
                </c:pt>
                <c:pt idx="4">
                  <c:v>9.6</c:v>
                </c:pt>
                <c:pt idx="5">
                  <c:v>12.3</c:v>
                </c:pt>
              </c:numCache>
            </c:numRef>
          </c:xVal>
          <c:yVal>
            <c:numRef>
              <c:f>Antenna!$Y$6:$Y$11</c:f>
              <c:numCache>
                <c:formatCode>0.00</c:formatCode>
                <c:ptCount val="6"/>
                <c:pt idx="0">
                  <c:v>2.39</c:v>
                </c:pt>
                <c:pt idx="1">
                  <c:v>1.51</c:v>
                </c:pt>
                <c:pt idx="2">
                  <c:v>1.06</c:v>
                </c:pt>
                <c:pt idx="3">
                  <c:v>0.89</c:v>
                </c:pt>
                <c:pt idx="4">
                  <c:v>0.79</c:v>
                </c:pt>
                <c:pt idx="5">
                  <c:v>0.5</c:v>
                </c:pt>
              </c:numCache>
            </c:numRef>
          </c:yVal>
          <c:smooth val="1"/>
          <c:extLst>
            <c:ext xmlns:c16="http://schemas.microsoft.com/office/drawing/2014/chart" uri="{C3380CC4-5D6E-409C-BE32-E72D297353CC}">
              <c16:uniqueId val="{00000002-EBC9-425F-8B9F-FDA997D2A39C}"/>
            </c:ext>
          </c:extLst>
        </c:ser>
        <c:ser>
          <c:idx val="3"/>
          <c:order val="3"/>
          <c:tx>
            <c:v>60 Deg</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Antenna!$V$6:$V$11</c:f>
              <c:numCache>
                <c:formatCode>0.00</c:formatCode>
                <c:ptCount val="6"/>
                <c:pt idx="0">
                  <c:v>3.5</c:v>
                </c:pt>
                <c:pt idx="1">
                  <c:v>4.8</c:v>
                </c:pt>
                <c:pt idx="2">
                  <c:v>5.8</c:v>
                </c:pt>
                <c:pt idx="3">
                  <c:v>7.4</c:v>
                </c:pt>
                <c:pt idx="4">
                  <c:v>9.6</c:v>
                </c:pt>
                <c:pt idx="5">
                  <c:v>12.3</c:v>
                </c:pt>
              </c:numCache>
            </c:numRef>
          </c:xVal>
          <c:yVal>
            <c:numRef>
              <c:f>Antenna!$Z$6:$Z$11</c:f>
              <c:numCache>
                <c:formatCode>0.00</c:formatCode>
                <c:ptCount val="6"/>
                <c:pt idx="0">
                  <c:v>2.88</c:v>
                </c:pt>
                <c:pt idx="1">
                  <c:v>1.86</c:v>
                </c:pt>
                <c:pt idx="2">
                  <c:v>1.34</c:v>
                </c:pt>
                <c:pt idx="3">
                  <c:v>1.1100000000000001</c:v>
                </c:pt>
                <c:pt idx="4">
                  <c:v>1.01</c:v>
                </c:pt>
                <c:pt idx="5">
                  <c:v>0.6</c:v>
                </c:pt>
              </c:numCache>
            </c:numRef>
          </c:yVal>
          <c:smooth val="1"/>
          <c:extLst>
            <c:ext xmlns:c16="http://schemas.microsoft.com/office/drawing/2014/chart" uri="{C3380CC4-5D6E-409C-BE32-E72D297353CC}">
              <c16:uniqueId val="{00000003-EBC9-425F-8B9F-FDA997D2A39C}"/>
            </c:ext>
          </c:extLst>
        </c:ser>
        <c:ser>
          <c:idx val="4"/>
          <c:order val="4"/>
          <c:tx>
            <c:v>90 Deg</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Antenna!$V$6:$V$11</c:f>
              <c:numCache>
                <c:formatCode>0.00</c:formatCode>
                <c:ptCount val="6"/>
                <c:pt idx="0">
                  <c:v>3.5</c:v>
                </c:pt>
                <c:pt idx="1">
                  <c:v>4.8</c:v>
                </c:pt>
                <c:pt idx="2">
                  <c:v>5.8</c:v>
                </c:pt>
                <c:pt idx="3">
                  <c:v>7.4</c:v>
                </c:pt>
                <c:pt idx="4">
                  <c:v>9.6</c:v>
                </c:pt>
                <c:pt idx="5">
                  <c:v>12.3</c:v>
                </c:pt>
              </c:numCache>
            </c:numRef>
          </c:xVal>
          <c:yVal>
            <c:numRef>
              <c:f>Antenna!$AA$6:$AA$11</c:f>
              <c:numCache>
                <c:formatCode>0.00</c:formatCode>
                <c:ptCount val="6"/>
                <c:pt idx="0">
                  <c:v>5.27</c:v>
                </c:pt>
                <c:pt idx="1">
                  <c:v>3.62</c:v>
                </c:pt>
                <c:pt idx="2">
                  <c:v>2.78</c:v>
                </c:pt>
                <c:pt idx="3">
                  <c:v>2.25</c:v>
                </c:pt>
                <c:pt idx="4">
                  <c:v>2.06</c:v>
                </c:pt>
                <c:pt idx="5">
                  <c:v>1.1599999999999999</c:v>
                </c:pt>
              </c:numCache>
            </c:numRef>
          </c:yVal>
          <c:smooth val="1"/>
          <c:extLst>
            <c:ext xmlns:c16="http://schemas.microsoft.com/office/drawing/2014/chart" uri="{C3380CC4-5D6E-409C-BE32-E72D297353CC}">
              <c16:uniqueId val="{00000004-EBC9-425F-8B9F-FDA997D2A39C}"/>
            </c:ext>
          </c:extLst>
        </c:ser>
        <c:dLbls>
          <c:showLegendKey val="0"/>
          <c:showVal val="0"/>
          <c:showCatName val="0"/>
          <c:showSerName val="0"/>
          <c:showPercent val="0"/>
          <c:showBubbleSize val="0"/>
        </c:dLbls>
        <c:axId val="457265616"/>
        <c:axId val="457262336"/>
      </c:scatterChart>
      <c:valAx>
        <c:axId val="457265616"/>
        <c:scaling>
          <c:orientation val="minMax"/>
          <c:max val="12.4"/>
          <c:min val="3.4"/>
        </c:scaling>
        <c:delete val="0"/>
        <c:axPos val="b"/>
        <c:majorGridlines>
          <c:spPr>
            <a:ln w="9525" cap="flat" cmpd="sng" algn="ctr">
              <a:solidFill>
                <a:schemeClr val="tx1"/>
              </a:solidFill>
              <a:round/>
            </a:ln>
            <a:effectLst/>
          </c:spPr>
        </c:majorGridlines>
        <c:title>
          <c:tx>
            <c:rich>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050" b="1">
                    <a:solidFill>
                      <a:schemeClr val="tx1"/>
                    </a:solidFill>
                  </a:rPr>
                  <a:t>Frequency, GHz</a:t>
                </a:r>
              </a:p>
            </c:rich>
          </c:tx>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457262336"/>
        <c:crosses val="autoZero"/>
        <c:crossBetween val="midCat"/>
        <c:majorUnit val="1"/>
        <c:minorUnit val="0.5"/>
      </c:valAx>
      <c:valAx>
        <c:axId val="457262336"/>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050" b="1">
                    <a:solidFill>
                      <a:schemeClr val="tx1"/>
                    </a:solidFill>
                  </a:rPr>
                  <a:t>Spillover</a:t>
                </a:r>
                <a:r>
                  <a:rPr lang="en-US" sz="1050" b="1" baseline="0">
                    <a:solidFill>
                      <a:schemeClr val="tx1"/>
                    </a:solidFill>
                  </a:rPr>
                  <a:t> Noise, Kelvin</a:t>
                </a:r>
                <a:endParaRPr lang="en-US" sz="1050" b="1">
                  <a:solidFill>
                    <a:schemeClr val="tx1"/>
                  </a:solidFill>
                </a:endParaRP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4572656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5" l="0.25" r="0.25" t="0.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rPr>
              <a:t>Tspill vs. Frequency, Elevation Angle</a:t>
            </a:r>
          </a:p>
          <a:p>
            <a:pPr>
              <a:defRPr b="1"/>
            </a:pPr>
            <a:r>
              <a:rPr lang="en-US" sz="1050" b="1" baseline="0">
                <a:solidFill>
                  <a:srgbClr val="FF0000"/>
                </a:solidFill>
              </a:rPr>
              <a:t>EMSS Band 1 Feed (2021)</a:t>
            </a:r>
            <a:endParaRPr lang="en-US" sz="1050" b="1">
              <a:solidFill>
                <a:srgbClr val="FF0000"/>
              </a:solidFill>
            </a:endParaRPr>
          </a:p>
        </c:rich>
      </c:tx>
      <c:layout>
        <c:manualLayout>
          <c:xMode val="edge"/>
          <c:yMode val="edge"/>
          <c:x val="0.26094385662729652"/>
          <c:y val="4.745762711864406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15 Deg</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Antenna!$A$5:$A$14</c:f>
              <c:numCache>
                <c:formatCode>0.0</c:formatCode>
                <c:ptCount val="10"/>
                <c:pt idx="0">
                  <c:v>1.2</c:v>
                </c:pt>
                <c:pt idx="1">
                  <c:v>1.4</c:v>
                </c:pt>
                <c:pt idx="2">
                  <c:v>1.6</c:v>
                </c:pt>
                <c:pt idx="3">
                  <c:v>1.8</c:v>
                </c:pt>
                <c:pt idx="4">
                  <c:v>2</c:v>
                </c:pt>
                <c:pt idx="5">
                  <c:v>2.2000000000000002</c:v>
                </c:pt>
                <c:pt idx="6">
                  <c:v>2.5</c:v>
                </c:pt>
                <c:pt idx="7">
                  <c:v>2.8</c:v>
                </c:pt>
                <c:pt idx="8">
                  <c:v>3.1</c:v>
                </c:pt>
                <c:pt idx="9">
                  <c:v>3.5</c:v>
                </c:pt>
              </c:numCache>
            </c:numRef>
          </c:xVal>
          <c:yVal>
            <c:numRef>
              <c:f>Antenna!$C$5:$C$14</c:f>
              <c:numCache>
                <c:formatCode>0.0</c:formatCode>
                <c:ptCount val="10"/>
                <c:pt idx="0">
                  <c:v>3.4702000000000002</c:v>
                </c:pt>
                <c:pt idx="1">
                  <c:v>2.7147000000000006</c:v>
                </c:pt>
                <c:pt idx="2">
                  <c:v>1.8645999999999994</c:v>
                </c:pt>
                <c:pt idx="3">
                  <c:v>1.4943</c:v>
                </c:pt>
                <c:pt idx="4">
                  <c:v>0.87070000000000025</c:v>
                </c:pt>
                <c:pt idx="5">
                  <c:v>0.49020000000000064</c:v>
                </c:pt>
                <c:pt idx="6">
                  <c:v>0.50780000000000047</c:v>
                </c:pt>
                <c:pt idx="7">
                  <c:v>0.3362999999999996</c:v>
                </c:pt>
                <c:pt idx="8">
                  <c:v>0.15840000000000032</c:v>
                </c:pt>
                <c:pt idx="9">
                  <c:v>0.12460000000000004</c:v>
                </c:pt>
              </c:numCache>
            </c:numRef>
          </c:yVal>
          <c:smooth val="1"/>
          <c:extLst>
            <c:ext xmlns:c16="http://schemas.microsoft.com/office/drawing/2014/chart" uri="{C3380CC4-5D6E-409C-BE32-E72D297353CC}">
              <c16:uniqueId val="{00000000-6583-4234-A11B-99C0E18B7503}"/>
            </c:ext>
          </c:extLst>
        </c:ser>
        <c:ser>
          <c:idx val="1"/>
          <c:order val="1"/>
          <c:tx>
            <c:v>30 Deg</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Antenna!$A$5:$A$14</c:f>
              <c:numCache>
                <c:formatCode>0.0</c:formatCode>
                <c:ptCount val="10"/>
                <c:pt idx="0">
                  <c:v>1.2</c:v>
                </c:pt>
                <c:pt idx="1">
                  <c:v>1.4</c:v>
                </c:pt>
                <c:pt idx="2">
                  <c:v>1.6</c:v>
                </c:pt>
                <c:pt idx="3">
                  <c:v>1.8</c:v>
                </c:pt>
                <c:pt idx="4">
                  <c:v>2</c:v>
                </c:pt>
                <c:pt idx="5">
                  <c:v>2.2000000000000002</c:v>
                </c:pt>
                <c:pt idx="6">
                  <c:v>2.5</c:v>
                </c:pt>
                <c:pt idx="7">
                  <c:v>2.8</c:v>
                </c:pt>
                <c:pt idx="8">
                  <c:v>3.1</c:v>
                </c:pt>
                <c:pt idx="9">
                  <c:v>3.5</c:v>
                </c:pt>
              </c:numCache>
            </c:numRef>
          </c:xVal>
          <c:yVal>
            <c:numRef>
              <c:f>Antenna!$F$5:$F$14</c:f>
              <c:numCache>
                <c:formatCode>0.0</c:formatCode>
                <c:ptCount val="10"/>
                <c:pt idx="0">
                  <c:v>4.5984999999999996</c:v>
                </c:pt>
                <c:pt idx="1">
                  <c:v>3.758700000000001</c:v>
                </c:pt>
                <c:pt idx="2">
                  <c:v>2.6884999999999994</c:v>
                </c:pt>
                <c:pt idx="3">
                  <c:v>2.1950000000000003</c:v>
                </c:pt>
                <c:pt idx="4">
                  <c:v>1.2668999999999997</c:v>
                </c:pt>
                <c:pt idx="5">
                  <c:v>0.70760000000000023</c:v>
                </c:pt>
                <c:pt idx="6">
                  <c:v>0.72990000000000066</c:v>
                </c:pt>
                <c:pt idx="7">
                  <c:v>0.49460000000000015</c:v>
                </c:pt>
                <c:pt idx="8">
                  <c:v>0.24450000000000038</c:v>
                </c:pt>
                <c:pt idx="9">
                  <c:v>0.18159999999999954</c:v>
                </c:pt>
              </c:numCache>
            </c:numRef>
          </c:yVal>
          <c:smooth val="1"/>
          <c:extLst>
            <c:ext xmlns:c16="http://schemas.microsoft.com/office/drawing/2014/chart" uri="{C3380CC4-5D6E-409C-BE32-E72D297353CC}">
              <c16:uniqueId val="{00000001-6583-4234-A11B-99C0E18B7503}"/>
            </c:ext>
          </c:extLst>
        </c:ser>
        <c:ser>
          <c:idx val="2"/>
          <c:order val="2"/>
          <c:tx>
            <c:v>45 Deg</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Antenna!$A$5:$A$14</c:f>
              <c:numCache>
                <c:formatCode>0.0</c:formatCode>
                <c:ptCount val="10"/>
                <c:pt idx="0">
                  <c:v>1.2</c:v>
                </c:pt>
                <c:pt idx="1">
                  <c:v>1.4</c:v>
                </c:pt>
                <c:pt idx="2">
                  <c:v>1.6</c:v>
                </c:pt>
                <c:pt idx="3">
                  <c:v>1.8</c:v>
                </c:pt>
                <c:pt idx="4">
                  <c:v>2</c:v>
                </c:pt>
                <c:pt idx="5">
                  <c:v>2.2000000000000002</c:v>
                </c:pt>
                <c:pt idx="6">
                  <c:v>2.5</c:v>
                </c:pt>
                <c:pt idx="7">
                  <c:v>2.8</c:v>
                </c:pt>
                <c:pt idx="8">
                  <c:v>3.1</c:v>
                </c:pt>
                <c:pt idx="9">
                  <c:v>3.5</c:v>
                </c:pt>
              </c:numCache>
            </c:numRef>
          </c:xVal>
          <c:yVal>
            <c:numRef>
              <c:f>Antenna!$I$5:$I$14</c:f>
              <c:numCache>
                <c:formatCode>0.0</c:formatCode>
                <c:ptCount val="10"/>
                <c:pt idx="0">
                  <c:v>5.3001000000000005</c:v>
                </c:pt>
                <c:pt idx="1">
                  <c:v>4.4025000000000007</c:v>
                </c:pt>
                <c:pt idx="2">
                  <c:v>3.2093000000000007</c:v>
                </c:pt>
                <c:pt idx="3">
                  <c:v>2.6429</c:v>
                </c:pt>
                <c:pt idx="4">
                  <c:v>1.5439000000000007</c:v>
                </c:pt>
                <c:pt idx="5">
                  <c:v>0.86979999999999968</c:v>
                </c:pt>
                <c:pt idx="6">
                  <c:v>0.87670000000000048</c:v>
                </c:pt>
                <c:pt idx="7">
                  <c:v>0.60099999999999998</c:v>
                </c:pt>
                <c:pt idx="8">
                  <c:v>0.30189999999999984</c:v>
                </c:pt>
                <c:pt idx="9">
                  <c:v>0.20809999999999995</c:v>
                </c:pt>
              </c:numCache>
            </c:numRef>
          </c:yVal>
          <c:smooth val="1"/>
          <c:extLst>
            <c:ext xmlns:c16="http://schemas.microsoft.com/office/drawing/2014/chart" uri="{C3380CC4-5D6E-409C-BE32-E72D297353CC}">
              <c16:uniqueId val="{00000002-6583-4234-A11B-99C0E18B7503}"/>
            </c:ext>
          </c:extLst>
        </c:ser>
        <c:ser>
          <c:idx val="3"/>
          <c:order val="3"/>
          <c:tx>
            <c:v>60 Deg</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Antenna!$A$5:$A$14</c:f>
              <c:numCache>
                <c:formatCode>0.0</c:formatCode>
                <c:ptCount val="10"/>
                <c:pt idx="0">
                  <c:v>1.2</c:v>
                </c:pt>
                <c:pt idx="1">
                  <c:v>1.4</c:v>
                </c:pt>
                <c:pt idx="2">
                  <c:v>1.6</c:v>
                </c:pt>
                <c:pt idx="3">
                  <c:v>1.8</c:v>
                </c:pt>
                <c:pt idx="4">
                  <c:v>2</c:v>
                </c:pt>
                <c:pt idx="5">
                  <c:v>2.2000000000000002</c:v>
                </c:pt>
                <c:pt idx="6">
                  <c:v>2.5</c:v>
                </c:pt>
                <c:pt idx="7">
                  <c:v>2.8</c:v>
                </c:pt>
                <c:pt idx="8">
                  <c:v>3.1</c:v>
                </c:pt>
                <c:pt idx="9">
                  <c:v>3.5</c:v>
                </c:pt>
              </c:numCache>
            </c:numRef>
          </c:xVal>
          <c:yVal>
            <c:numRef>
              <c:f>Antenna!$L$5:$L$14</c:f>
              <c:numCache>
                <c:formatCode>0.0</c:formatCode>
                <c:ptCount val="10"/>
                <c:pt idx="0">
                  <c:v>5.9071999999999996</c:v>
                </c:pt>
                <c:pt idx="1">
                  <c:v>4.9206000000000003</c:v>
                </c:pt>
                <c:pt idx="2">
                  <c:v>3.6181000000000001</c:v>
                </c:pt>
                <c:pt idx="3">
                  <c:v>3.0005000000000006</c:v>
                </c:pt>
                <c:pt idx="4">
                  <c:v>1.7869999999999999</c:v>
                </c:pt>
                <c:pt idx="5">
                  <c:v>1.0223000000000004</c:v>
                </c:pt>
                <c:pt idx="6">
                  <c:v>1.0049000000000001</c:v>
                </c:pt>
                <c:pt idx="7">
                  <c:v>0.69439999999999991</c:v>
                </c:pt>
                <c:pt idx="8">
                  <c:v>0.35540000000000038</c:v>
                </c:pt>
                <c:pt idx="9">
                  <c:v>0.2240000000000002</c:v>
                </c:pt>
              </c:numCache>
            </c:numRef>
          </c:yVal>
          <c:smooth val="1"/>
          <c:extLst>
            <c:ext xmlns:c16="http://schemas.microsoft.com/office/drawing/2014/chart" uri="{C3380CC4-5D6E-409C-BE32-E72D297353CC}">
              <c16:uniqueId val="{00000003-6583-4234-A11B-99C0E18B7503}"/>
            </c:ext>
          </c:extLst>
        </c:ser>
        <c:ser>
          <c:idx val="4"/>
          <c:order val="4"/>
          <c:tx>
            <c:v>90 Deg</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Antenna!$A$5:$A$14</c:f>
              <c:numCache>
                <c:formatCode>0.0</c:formatCode>
                <c:ptCount val="10"/>
                <c:pt idx="0">
                  <c:v>1.2</c:v>
                </c:pt>
                <c:pt idx="1">
                  <c:v>1.4</c:v>
                </c:pt>
                <c:pt idx="2">
                  <c:v>1.6</c:v>
                </c:pt>
                <c:pt idx="3">
                  <c:v>1.8</c:v>
                </c:pt>
                <c:pt idx="4">
                  <c:v>2</c:v>
                </c:pt>
                <c:pt idx="5">
                  <c:v>2.2000000000000002</c:v>
                </c:pt>
                <c:pt idx="6">
                  <c:v>2.5</c:v>
                </c:pt>
                <c:pt idx="7">
                  <c:v>2.8</c:v>
                </c:pt>
                <c:pt idx="8">
                  <c:v>3.1</c:v>
                </c:pt>
                <c:pt idx="9">
                  <c:v>3.5</c:v>
                </c:pt>
              </c:numCache>
            </c:numRef>
          </c:xVal>
          <c:yVal>
            <c:numRef>
              <c:f>Antenna!$R$5:$R$14</c:f>
              <c:numCache>
                <c:formatCode>0.0</c:formatCode>
                <c:ptCount val="10"/>
                <c:pt idx="0">
                  <c:v>8.1133000000000006</c:v>
                </c:pt>
                <c:pt idx="1">
                  <c:v>6.7393000000000001</c:v>
                </c:pt>
                <c:pt idx="2">
                  <c:v>5.0608999999999993</c:v>
                </c:pt>
                <c:pt idx="3">
                  <c:v>4.2145999999999999</c:v>
                </c:pt>
                <c:pt idx="4">
                  <c:v>2.6096000000000004</c:v>
                </c:pt>
                <c:pt idx="5">
                  <c:v>1.5731000000000002</c:v>
                </c:pt>
                <c:pt idx="6">
                  <c:v>1.4973999999999998</c:v>
                </c:pt>
                <c:pt idx="7">
                  <c:v>1.1066000000000003</c:v>
                </c:pt>
                <c:pt idx="8">
                  <c:v>0.57969999999999988</c:v>
                </c:pt>
                <c:pt idx="9">
                  <c:v>0.30810000000000048</c:v>
                </c:pt>
              </c:numCache>
            </c:numRef>
          </c:yVal>
          <c:smooth val="1"/>
          <c:extLst>
            <c:ext xmlns:c16="http://schemas.microsoft.com/office/drawing/2014/chart" uri="{C3380CC4-5D6E-409C-BE32-E72D297353CC}">
              <c16:uniqueId val="{00000004-6583-4234-A11B-99C0E18B7503}"/>
            </c:ext>
          </c:extLst>
        </c:ser>
        <c:dLbls>
          <c:showLegendKey val="0"/>
          <c:showVal val="0"/>
          <c:showCatName val="0"/>
          <c:showSerName val="0"/>
          <c:showPercent val="0"/>
          <c:showBubbleSize val="0"/>
        </c:dLbls>
        <c:axId val="457265616"/>
        <c:axId val="457262336"/>
      </c:scatterChart>
      <c:valAx>
        <c:axId val="457265616"/>
        <c:scaling>
          <c:orientation val="minMax"/>
          <c:max val="3.6"/>
          <c:min val="1.2"/>
        </c:scaling>
        <c:delete val="0"/>
        <c:axPos val="b"/>
        <c:majorGridlines>
          <c:spPr>
            <a:ln w="9525" cap="flat" cmpd="sng" algn="ctr">
              <a:solidFill>
                <a:schemeClr val="bg1">
                  <a:lumMod val="50000"/>
                </a:schemeClr>
              </a:solidFill>
              <a:round/>
            </a:ln>
            <a:effectLst/>
          </c:spPr>
        </c:majorGridlines>
        <c:title>
          <c:tx>
            <c:rich>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050" b="1">
                    <a:solidFill>
                      <a:schemeClr val="tx1"/>
                    </a:solidFill>
                  </a:rPr>
                  <a:t>Frequency, GHz</a:t>
                </a:r>
              </a:p>
            </c:rich>
          </c:tx>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457262336"/>
        <c:crosses val="autoZero"/>
        <c:crossBetween val="midCat"/>
        <c:majorUnit val="0.2"/>
        <c:minorUnit val="0.1"/>
      </c:valAx>
      <c:valAx>
        <c:axId val="457262336"/>
        <c:scaling>
          <c:orientation val="minMax"/>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050" b="1">
                    <a:solidFill>
                      <a:schemeClr val="tx1"/>
                    </a:solidFill>
                  </a:rPr>
                  <a:t>Spillover</a:t>
                </a:r>
                <a:r>
                  <a:rPr lang="en-US" sz="1050" b="1" baseline="0">
                    <a:solidFill>
                      <a:schemeClr val="tx1"/>
                    </a:solidFill>
                  </a:rPr>
                  <a:t> Noise, Kelvin</a:t>
                </a:r>
                <a:endParaRPr lang="en-US" sz="1050" b="1">
                  <a:solidFill>
                    <a:schemeClr val="tx1"/>
                  </a:solidFill>
                </a:endParaRP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457265616"/>
        <c:crosses val="autoZero"/>
        <c:crossBetween val="midCat"/>
      </c:valAx>
      <c:spPr>
        <a:noFill/>
        <a:ln>
          <a:solidFill>
            <a:schemeClr val="tx1"/>
          </a:solidFill>
        </a:ln>
        <a:effectLst/>
      </c:spPr>
    </c:plotArea>
    <c:legend>
      <c:legendPos val="r"/>
      <c:layout>
        <c:manualLayout>
          <c:xMode val="edge"/>
          <c:yMode val="edge"/>
          <c:x val="0.75936167158792645"/>
          <c:y val="0.17134632323501936"/>
          <c:w val="0.14428416174540681"/>
          <c:h val="0.28601895102095287"/>
        </c:manualLayout>
      </c:layout>
      <c:overlay val="1"/>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5" l="0.25" r="0.25" t="0.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117474</xdr:colOff>
      <xdr:row>5</xdr:row>
      <xdr:rowOff>39307</xdr:rowOff>
    </xdr:from>
    <xdr:to>
      <xdr:col>1</xdr:col>
      <xdr:colOff>1076324</xdr:colOff>
      <xdr:row>8</xdr:row>
      <xdr:rowOff>7618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84349" y="1401382"/>
          <a:ext cx="958850" cy="692211"/>
        </a:xfrm>
        <a:prstGeom prst="rect">
          <a:avLst/>
        </a:prstGeom>
      </xdr:spPr>
    </xdr:pic>
    <xdr:clientData/>
  </xdr:twoCellAnchor>
  <xdr:twoCellAnchor editAs="oneCell">
    <xdr:from>
      <xdr:col>2</xdr:col>
      <xdr:colOff>777875</xdr:colOff>
      <xdr:row>9</xdr:row>
      <xdr:rowOff>121405</xdr:rowOff>
    </xdr:from>
    <xdr:to>
      <xdr:col>2</xdr:col>
      <xdr:colOff>2679108</xdr:colOff>
      <xdr:row>9</xdr:row>
      <xdr:rowOff>1381124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559175" y="2407405"/>
          <a:ext cx="1901233" cy="12597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21166</xdr:colOff>
      <xdr:row>45</xdr:row>
      <xdr:rowOff>21166</xdr:rowOff>
    </xdr:from>
    <xdr:to>
      <xdr:col>24</xdr:col>
      <xdr:colOff>21166</xdr:colOff>
      <xdr:row>76</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21167</xdr:colOff>
      <xdr:row>77</xdr:row>
      <xdr:rowOff>132292</xdr:rowOff>
    </xdr:from>
    <xdr:to>
      <xdr:col>24</xdr:col>
      <xdr:colOff>21167</xdr:colOff>
      <xdr:row>109</xdr:row>
      <xdr:rowOff>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10</xdr:col>
          <xdr:colOff>114300</xdr:colOff>
          <xdr:row>2</xdr:row>
          <xdr:rowOff>165100</xdr:rowOff>
        </xdr:from>
        <xdr:to>
          <xdr:col>12</xdr:col>
          <xdr:colOff>0</xdr:colOff>
          <xdr:row>4</xdr:row>
          <xdr:rowOff>107950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1" i="0" u="none" strike="noStrike" baseline="0">
                  <a:solidFill>
                    <a:srgbClr val="0000FF"/>
                  </a:solidFill>
                  <a:latin typeface="Arial"/>
                  <a:cs typeface="Arial"/>
                </a:rPr>
                <a:t>XML FILE GENERATE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165100</xdr:colOff>
          <xdr:row>1</xdr:row>
          <xdr:rowOff>133350</xdr:rowOff>
        </xdr:from>
        <xdr:to>
          <xdr:col>26</xdr:col>
          <xdr:colOff>393700</xdr:colOff>
          <xdr:row>3</xdr:row>
          <xdr:rowOff>69850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US" sz="1200" b="1" i="0" u="none" strike="noStrike" baseline="0">
                  <a:solidFill>
                    <a:srgbClr val="000000"/>
                  </a:solidFill>
                  <a:latin typeface="Arial"/>
                  <a:cs typeface="Arial"/>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1</xdr:row>
          <xdr:rowOff>38100</xdr:rowOff>
        </xdr:from>
        <xdr:to>
          <xdr:col>0</xdr:col>
          <xdr:colOff>1346200</xdr:colOff>
          <xdr:row>1</xdr:row>
          <xdr:rowOff>209550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FF"/>
                  </a:solidFill>
                  <a:latin typeface="MS Sans Serif"/>
                </a:rPr>
                <a:t>REFRESH</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1</xdr:row>
          <xdr:rowOff>38100</xdr:rowOff>
        </xdr:from>
        <xdr:to>
          <xdr:col>0</xdr:col>
          <xdr:colOff>1346200</xdr:colOff>
          <xdr:row>1</xdr:row>
          <xdr:rowOff>209550</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FF"/>
                  </a:solidFill>
                  <a:latin typeface="MS Sans Serif"/>
                </a:rPr>
                <a:t>REFRESH</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1</xdr:row>
          <xdr:rowOff>38100</xdr:rowOff>
        </xdr:from>
        <xdr:to>
          <xdr:col>0</xdr:col>
          <xdr:colOff>1346200</xdr:colOff>
          <xdr:row>1</xdr:row>
          <xdr:rowOff>209550</xdr:rowOff>
        </xdr:to>
        <xdr:sp macro="" textlink="">
          <xdr:nvSpPr>
            <xdr:cNvPr id="5123" name="Button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FF"/>
                  </a:solidFill>
                  <a:latin typeface="MS Sans Serif"/>
                </a:rPr>
                <a:t>REFRESH</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16</xdr:col>
      <xdr:colOff>211664</xdr:colOff>
      <xdr:row>3</xdr:row>
      <xdr:rowOff>66675</xdr:rowOff>
    </xdr:from>
    <xdr:to>
      <xdr:col>24</xdr:col>
      <xdr:colOff>782108</xdr:colOff>
      <xdr:row>25</xdr:row>
      <xdr:rowOff>114301</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207432</xdr:colOff>
      <xdr:row>26</xdr:row>
      <xdr:rowOff>56092</xdr:rowOff>
    </xdr:from>
    <xdr:to>
      <xdr:col>24</xdr:col>
      <xdr:colOff>777876</xdr:colOff>
      <xdr:row>48</xdr:row>
      <xdr:rowOff>122768</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201083</xdr:colOff>
      <xdr:row>49</xdr:row>
      <xdr:rowOff>105834</xdr:rowOff>
    </xdr:from>
    <xdr:to>
      <xdr:col>24</xdr:col>
      <xdr:colOff>771527</xdr:colOff>
      <xdr:row>71</xdr:row>
      <xdr:rowOff>172509</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211666</xdr:colOff>
      <xdr:row>72</xdr:row>
      <xdr:rowOff>105833</xdr:rowOff>
    </xdr:from>
    <xdr:to>
      <xdr:col>24</xdr:col>
      <xdr:colOff>782110</xdr:colOff>
      <xdr:row>94</xdr:row>
      <xdr:rowOff>172509</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211666</xdr:colOff>
      <xdr:row>95</xdr:row>
      <xdr:rowOff>148166</xdr:rowOff>
    </xdr:from>
    <xdr:to>
      <xdr:col>24</xdr:col>
      <xdr:colOff>782110</xdr:colOff>
      <xdr:row>118</xdr:row>
      <xdr:rowOff>13759</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21</xdr:col>
      <xdr:colOff>2116</xdr:colOff>
      <xdr:row>12</xdr:row>
      <xdr:rowOff>21168</xdr:rowOff>
    </xdr:from>
    <xdr:to>
      <xdr:col>30</xdr:col>
      <xdr:colOff>529166</xdr:colOff>
      <xdr:row>32</xdr:row>
      <xdr:rowOff>137583</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33</xdr:row>
      <xdr:rowOff>158745</xdr:rowOff>
    </xdr:from>
    <xdr:to>
      <xdr:col>30</xdr:col>
      <xdr:colOff>527050</xdr:colOff>
      <xdr:row>54</xdr:row>
      <xdr:rowOff>116412</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55</xdr:row>
      <xdr:rowOff>116415</xdr:rowOff>
    </xdr:from>
    <xdr:to>
      <xdr:col>30</xdr:col>
      <xdr:colOff>527050</xdr:colOff>
      <xdr:row>70</xdr:row>
      <xdr:rowOff>190498</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EAACD-F9D9-4B60-AC6D-61920D1755B8}">
  <dimension ref="C5:E30"/>
  <sheetViews>
    <sheetView tabSelected="1" workbookViewId="0">
      <selection activeCell="B1" sqref="B1"/>
    </sheetView>
  </sheetViews>
  <sheetFormatPr defaultRowHeight="13"/>
  <cols>
    <col min="1" max="1" width="23.90625" customWidth="1"/>
    <col min="2" max="2" width="15.90625" customWidth="1"/>
    <col min="3" max="3" width="51.54296875" customWidth="1"/>
    <col min="4" max="4" width="21.90625" customWidth="1"/>
    <col min="5" max="5" width="17.1796875" customWidth="1"/>
  </cols>
  <sheetData>
    <row r="5" spans="3:4" ht="56.5" customHeight="1"/>
    <row r="6" spans="3:4" ht="22" customHeight="1">
      <c r="C6" s="584" t="s">
        <v>342</v>
      </c>
      <c r="D6" s="585" t="s">
        <v>343</v>
      </c>
    </row>
    <row r="7" spans="3:4" ht="19.5" customHeight="1">
      <c r="C7" s="585" t="s">
        <v>344</v>
      </c>
      <c r="D7" s="585" t="s">
        <v>345</v>
      </c>
    </row>
    <row r="8" spans="3:4" ht="16" customHeight="1">
      <c r="C8" s="591" t="s">
        <v>346</v>
      </c>
      <c r="D8" s="591"/>
    </row>
    <row r="9" spans="3:4" ht="16" customHeight="1">
      <c r="C9" s="583"/>
      <c r="D9" s="583"/>
    </row>
    <row r="10" spans="3:4" ht="120.5" customHeight="1">
      <c r="C10" s="583"/>
      <c r="D10" s="583"/>
    </row>
    <row r="11" spans="3:4" ht="47.5" customHeight="1">
      <c r="C11" s="586" t="s">
        <v>347</v>
      </c>
    </row>
    <row r="12" spans="3:4" ht="31.5" customHeight="1">
      <c r="C12" s="587" t="s">
        <v>348</v>
      </c>
    </row>
    <row r="13" spans="3:4" ht="47.5" customHeight="1">
      <c r="C13" s="588" t="s">
        <v>349</v>
      </c>
    </row>
    <row r="14" spans="3:4" ht="13.5" thickBot="1"/>
    <row r="15" spans="3:4" ht="17.5" thickTop="1" thickBot="1">
      <c r="C15" s="578" t="s">
        <v>327</v>
      </c>
      <c r="D15" s="579" t="s">
        <v>328</v>
      </c>
    </row>
    <row r="16" spans="3:4" ht="17" thickBot="1">
      <c r="C16" s="580" t="s">
        <v>350</v>
      </c>
      <c r="D16" s="581" t="s">
        <v>329</v>
      </c>
    </row>
    <row r="17" spans="3:5" ht="13.5" thickBot="1"/>
    <row r="18" spans="3:5" ht="17.5" thickTop="1" thickBot="1">
      <c r="C18" s="578" t="s">
        <v>330</v>
      </c>
      <c r="D18" s="579" t="s">
        <v>328</v>
      </c>
      <c r="E18" s="579" t="s">
        <v>331</v>
      </c>
    </row>
    <row r="19" spans="3:5" ht="16.5">
      <c r="C19" s="582" t="s">
        <v>340</v>
      </c>
      <c r="D19" s="589" t="s">
        <v>329</v>
      </c>
      <c r="E19" s="589"/>
    </row>
    <row r="20" spans="3:5" ht="17" thickBot="1">
      <c r="C20" s="580" t="s">
        <v>341</v>
      </c>
      <c r="D20" s="590"/>
      <c r="E20" s="590"/>
    </row>
    <row r="21" spans="3:5" ht="16.5">
      <c r="C21" s="582" t="s">
        <v>332</v>
      </c>
      <c r="D21" s="589" t="s">
        <v>329</v>
      </c>
      <c r="E21" s="589"/>
    </row>
    <row r="22" spans="3:5" ht="17" thickBot="1">
      <c r="C22" s="580" t="s">
        <v>333</v>
      </c>
      <c r="D22" s="590"/>
      <c r="E22" s="590"/>
    </row>
    <row r="23" spans="3:5" ht="16.5">
      <c r="C23" s="582" t="s">
        <v>334</v>
      </c>
      <c r="D23" s="589" t="s">
        <v>329</v>
      </c>
      <c r="E23" s="589"/>
    </row>
    <row r="24" spans="3:5" ht="17" thickBot="1">
      <c r="C24" s="580" t="s">
        <v>335</v>
      </c>
      <c r="D24" s="590"/>
      <c r="E24" s="590"/>
    </row>
    <row r="25" spans="3:5" ht="16.5">
      <c r="C25" s="582" t="s">
        <v>336</v>
      </c>
      <c r="D25" s="589" t="s">
        <v>329</v>
      </c>
      <c r="E25" s="589"/>
    </row>
    <row r="26" spans="3:5" ht="17" thickBot="1">
      <c r="C26" s="580" t="s">
        <v>337</v>
      </c>
      <c r="D26" s="590"/>
      <c r="E26" s="590"/>
    </row>
    <row r="27" spans="3:5" ht="13.5" thickBot="1"/>
    <row r="28" spans="3:5" ht="17.5" thickTop="1" thickBot="1">
      <c r="C28" s="578" t="s">
        <v>338</v>
      </c>
      <c r="D28" s="579" t="s">
        <v>328</v>
      </c>
      <c r="E28" s="579" t="s">
        <v>339</v>
      </c>
    </row>
    <row r="29" spans="3:5" ht="16.5">
      <c r="C29" s="582" t="s">
        <v>336</v>
      </c>
      <c r="D29" s="589" t="s">
        <v>329</v>
      </c>
      <c r="E29" s="589"/>
    </row>
    <row r="30" spans="3:5" ht="17" thickBot="1">
      <c r="C30" s="580" t="s">
        <v>337</v>
      </c>
      <c r="D30" s="590"/>
      <c r="E30" s="590"/>
    </row>
  </sheetData>
  <mergeCells count="11">
    <mergeCell ref="D25:D26"/>
    <mergeCell ref="E25:E26"/>
    <mergeCell ref="D29:D30"/>
    <mergeCell ref="E29:E30"/>
    <mergeCell ref="C8:D8"/>
    <mergeCell ref="D19:D20"/>
    <mergeCell ref="E19:E20"/>
    <mergeCell ref="D21:D22"/>
    <mergeCell ref="E21:E22"/>
    <mergeCell ref="D23:D24"/>
    <mergeCell ref="E23:E24"/>
  </mergeCells>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EAE46-B5DF-4FBD-9479-A0A15CAB600C}">
  <sheetPr codeName="Sheet20">
    <tabColor rgb="FF0000FF"/>
    <pageSetUpPr fitToPage="1"/>
  </sheetPr>
  <dimension ref="A1:Y27"/>
  <sheetViews>
    <sheetView zoomScale="90" zoomScaleNormal="90" workbookViewId="0">
      <selection activeCell="B19" sqref="B19:X19"/>
    </sheetView>
  </sheetViews>
  <sheetFormatPr defaultColWidth="9.1796875" defaultRowHeight="13"/>
  <cols>
    <col min="1" max="1" width="1.7265625" style="4" customWidth="1"/>
    <col min="2" max="4" width="6.7265625" style="4" customWidth="1"/>
    <col min="5" max="5" width="1.7265625" style="4" customWidth="1"/>
    <col min="6" max="8" width="6.7265625" style="4" customWidth="1"/>
    <col min="9" max="9" width="1.7265625" style="4" customWidth="1"/>
    <col min="10" max="12" width="6.7265625" style="4" customWidth="1"/>
    <col min="13" max="13" width="1.7265625" style="4" customWidth="1"/>
    <col min="14" max="16" width="6.7265625" style="4" customWidth="1"/>
    <col min="17" max="17" width="1.7265625" style="4" customWidth="1"/>
    <col min="18" max="20" width="6.7265625" style="4" customWidth="1"/>
    <col min="21" max="21" width="1.7265625" style="4" customWidth="1"/>
    <col min="22" max="24" width="6.7265625" style="4" customWidth="1"/>
    <col min="25" max="25" width="1.7265625" style="4" customWidth="1"/>
    <col min="26" max="16384" width="9.1796875" style="4"/>
  </cols>
  <sheetData>
    <row r="1" spans="1:25" s="26" customFormat="1" ht="15.5">
      <c r="A1" s="112"/>
      <c r="B1" s="501" t="s">
        <v>275</v>
      </c>
      <c r="C1" s="502"/>
      <c r="D1" s="502"/>
      <c r="E1" s="502"/>
      <c r="F1" s="502"/>
      <c r="G1" s="502"/>
      <c r="H1" s="502"/>
      <c r="I1" s="502"/>
      <c r="J1" s="502"/>
      <c r="K1" s="502"/>
      <c r="L1" s="502"/>
      <c r="M1" s="502"/>
      <c r="N1" s="502"/>
      <c r="O1" s="502"/>
      <c r="P1" s="502"/>
      <c r="Q1" s="502"/>
      <c r="R1" s="502"/>
      <c r="S1" s="502"/>
      <c r="T1" s="502"/>
      <c r="U1" s="502"/>
      <c r="V1" s="502"/>
      <c r="W1" s="502"/>
      <c r="X1" s="502"/>
      <c r="Y1" s="416"/>
    </row>
    <row r="2" spans="1:25" s="26" customFormat="1" ht="14.5" thickBot="1">
      <c r="A2" s="416"/>
      <c r="B2" s="416"/>
      <c r="C2" s="416"/>
      <c r="D2" s="416"/>
      <c r="E2" s="416"/>
      <c r="F2" s="416"/>
      <c r="G2" s="416"/>
      <c r="H2" s="416"/>
      <c r="I2" s="416"/>
      <c r="J2" s="416"/>
      <c r="K2" s="416"/>
      <c r="L2" s="416"/>
      <c r="M2" s="416"/>
      <c r="N2" s="416"/>
      <c r="O2" s="416"/>
      <c r="P2" s="416"/>
      <c r="Q2" s="416"/>
      <c r="R2" s="416"/>
      <c r="S2" s="416"/>
      <c r="T2" s="416"/>
      <c r="U2" s="416"/>
      <c r="V2" s="416"/>
      <c r="W2" s="416"/>
      <c r="X2" s="416"/>
      <c r="Y2" s="416"/>
    </row>
    <row r="3" spans="1:25" ht="18">
      <c r="A3" s="413"/>
      <c r="B3" s="675">
        <v>1</v>
      </c>
      <c r="C3" s="676"/>
      <c r="D3" s="677"/>
      <c r="E3" s="413"/>
      <c r="F3" s="678">
        <v>2</v>
      </c>
      <c r="G3" s="679"/>
      <c r="H3" s="680"/>
      <c r="I3" s="413"/>
      <c r="J3" s="666">
        <v>3</v>
      </c>
      <c r="K3" s="667"/>
      <c r="L3" s="668"/>
      <c r="M3" s="413"/>
      <c r="N3" s="669">
        <v>4</v>
      </c>
      <c r="O3" s="670"/>
      <c r="P3" s="671"/>
      <c r="Q3" s="413"/>
      <c r="R3" s="672">
        <v>5</v>
      </c>
      <c r="S3" s="673"/>
      <c r="T3" s="674"/>
      <c r="U3" s="413"/>
      <c r="V3" s="660">
        <v>6</v>
      </c>
      <c r="W3" s="661"/>
      <c r="X3" s="662"/>
      <c r="Y3" s="413"/>
    </row>
    <row r="4" spans="1:25">
      <c r="A4" s="413"/>
      <c r="B4" s="20" t="s">
        <v>11</v>
      </c>
      <c r="C4" s="12" t="s">
        <v>276</v>
      </c>
      <c r="D4" s="47" t="s">
        <v>277</v>
      </c>
      <c r="E4" s="413"/>
      <c r="F4" s="20" t="s">
        <v>11</v>
      </c>
      <c r="G4" s="12" t="s">
        <v>278</v>
      </c>
      <c r="H4" s="47" t="s">
        <v>279</v>
      </c>
      <c r="I4" s="413"/>
      <c r="J4" s="20" t="s">
        <v>11</v>
      </c>
      <c r="K4" s="12" t="s">
        <v>280</v>
      </c>
      <c r="L4" s="47" t="s">
        <v>281</v>
      </c>
      <c r="M4" s="413"/>
      <c r="N4" s="20" t="s">
        <v>11</v>
      </c>
      <c r="O4" s="12" t="s">
        <v>282</v>
      </c>
      <c r="P4" s="47" t="s">
        <v>283</v>
      </c>
      <c r="Q4" s="413"/>
      <c r="R4" s="20" t="s">
        <v>11</v>
      </c>
      <c r="S4" s="12" t="s">
        <v>284</v>
      </c>
      <c r="T4" s="47" t="s">
        <v>285</v>
      </c>
      <c r="U4" s="413"/>
      <c r="V4" s="20" t="s">
        <v>11</v>
      </c>
      <c r="W4" s="12" t="s">
        <v>286</v>
      </c>
      <c r="X4" s="47" t="s">
        <v>287</v>
      </c>
      <c r="Y4" s="413"/>
    </row>
    <row r="5" spans="1:25" ht="13.5" thickBot="1">
      <c r="A5" s="413"/>
      <c r="B5" s="21" t="s">
        <v>2</v>
      </c>
      <c r="C5" s="13" t="s">
        <v>0</v>
      </c>
      <c r="D5" s="48" t="s">
        <v>0</v>
      </c>
      <c r="E5" s="413"/>
      <c r="F5" s="21" t="s">
        <v>2</v>
      </c>
      <c r="G5" s="13" t="s">
        <v>0</v>
      </c>
      <c r="H5" s="48" t="s">
        <v>0</v>
      </c>
      <c r="I5" s="413"/>
      <c r="J5" s="21" t="s">
        <v>2</v>
      </c>
      <c r="K5" s="13" t="s">
        <v>0</v>
      </c>
      <c r="L5" s="48" t="s">
        <v>0</v>
      </c>
      <c r="M5" s="413"/>
      <c r="N5" s="21" t="s">
        <v>2</v>
      </c>
      <c r="O5" s="13" t="s">
        <v>0</v>
      </c>
      <c r="P5" s="48" t="s">
        <v>0</v>
      </c>
      <c r="Q5" s="413"/>
      <c r="R5" s="21" t="s">
        <v>2</v>
      </c>
      <c r="S5" s="13" t="s">
        <v>0</v>
      </c>
      <c r="T5" s="48" t="s">
        <v>0</v>
      </c>
      <c r="U5" s="413"/>
      <c r="V5" s="21" t="s">
        <v>2</v>
      </c>
      <c r="W5" s="13" t="s">
        <v>0</v>
      </c>
      <c r="X5" s="48" t="s">
        <v>0</v>
      </c>
      <c r="Y5" s="413"/>
    </row>
    <row r="6" spans="1:25" s="5" customFormat="1" ht="13.5" customHeight="1" thickTop="1">
      <c r="A6" s="414"/>
      <c r="B6" s="53">
        <v>1.2</v>
      </c>
      <c r="C6" s="525">
        <v>-0.13</v>
      </c>
      <c r="D6" s="526">
        <v>-29.7</v>
      </c>
      <c r="E6" s="414"/>
      <c r="F6" s="53">
        <v>3.4099999999999997</v>
      </c>
      <c r="G6" s="525">
        <v>-0.15</v>
      </c>
      <c r="H6" s="526">
        <v>-30.5</v>
      </c>
      <c r="I6" s="414"/>
      <c r="J6" s="53">
        <v>12.31</v>
      </c>
      <c r="K6" s="525">
        <v>-0.02</v>
      </c>
      <c r="L6" s="526">
        <v>-32.6</v>
      </c>
      <c r="M6" s="104"/>
      <c r="N6" s="116">
        <v>20.5</v>
      </c>
      <c r="O6" s="525">
        <v>-0.03</v>
      </c>
      <c r="P6" s="526">
        <v>-32.4</v>
      </c>
      <c r="Q6" s="104"/>
      <c r="R6" s="116">
        <v>30.5</v>
      </c>
      <c r="S6" s="525">
        <v>-7.0000000000000007E-2</v>
      </c>
      <c r="T6" s="526">
        <v>-33</v>
      </c>
      <c r="U6" s="104"/>
      <c r="V6" s="116">
        <v>70</v>
      </c>
      <c r="W6" s="525">
        <v>-0.15</v>
      </c>
      <c r="X6" s="526">
        <v>-33</v>
      </c>
      <c r="Y6" s="414"/>
    </row>
    <row r="7" spans="1:25" s="5" customFormat="1" ht="12.75" customHeight="1">
      <c r="A7" s="414"/>
      <c r="B7" s="503">
        <v>1.32</v>
      </c>
      <c r="C7" s="527">
        <v>-0.14000000000000001</v>
      </c>
      <c r="D7" s="526">
        <v>-29.8</v>
      </c>
      <c r="E7" s="414"/>
      <c r="F7" s="503">
        <v>3.88</v>
      </c>
      <c r="G7" s="527">
        <v>-0.17</v>
      </c>
      <c r="H7" s="526">
        <v>-30.5</v>
      </c>
      <c r="I7" s="414"/>
      <c r="J7" s="503">
        <v>12.94</v>
      </c>
      <c r="K7" s="525">
        <v>-0.02</v>
      </c>
      <c r="L7" s="526">
        <v>-31.5</v>
      </c>
      <c r="M7" s="104"/>
      <c r="N7" s="117">
        <v>21.6</v>
      </c>
      <c r="O7" s="525">
        <v>-0.03</v>
      </c>
      <c r="P7" s="526">
        <v>-31.3</v>
      </c>
      <c r="Q7" s="104"/>
      <c r="R7" s="117">
        <v>32</v>
      </c>
      <c r="S7" s="527">
        <v>-0.06</v>
      </c>
      <c r="T7" s="526">
        <v>-32.1</v>
      </c>
      <c r="U7" s="104"/>
      <c r="V7" s="117">
        <v>73.8</v>
      </c>
      <c r="W7" s="527">
        <v>-0.13</v>
      </c>
      <c r="X7" s="526">
        <v>-31.9</v>
      </c>
      <c r="Y7" s="414"/>
    </row>
    <row r="8" spans="1:25" s="5" customFormat="1" ht="13.5" customHeight="1">
      <c r="A8" s="414"/>
      <c r="B8" s="503">
        <v>1.49</v>
      </c>
      <c r="C8" s="527">
        <v>-0.14000000000000001</v>
      </c>
      <c r="D8" s="526">
        <v>-30</v>
      </c>
      <c r="E8" s="414"/>
      <c r="F8" s="503">
        <v>4.4000000000000004</v>
      </c>
      <c r="G8" s="527">
        <v>-0.18</v>
      </c>
      <c r="H8" s="526">
        <v>-30</v>
      </c>
      <c r="I8" s="414"/>
      <c r="J8" s="503">
        <v>13.6</v>
      </c>
      <c r="K8" s="525">
        <v>-0.02</v>
      </c>
      <c r="L8" s="526">
        <v>-30.7</v>
      </c>
      <c r="M8" s="104"/>
      <c r="N8" s="117">
        <v>22.7</v>
      </c>
      <c r="O8" s="525">
        <v>-0.03</v>
      </c>
      <c r="P8" s="526">
        <v>-30.5</v>
      </c>
      <c r="Q8" s="104"/>
      <c r="R8" s="117">
        <v>33.700000000000003</v>
      </c>
      <c r="S8" s="527">
        <v>-0.06</v>
      </c>
      <c r="T8" s="526">
        <v>-31.2</v>
      </c>
      <c r="U8" s="104"/>
      <c r="V8" s="117">
        <v>77.5</v>
      </c>
      <c r="W8" s="527">
        <v>-0.12</v>
      </c>
      <c r="X8" s="526">
        <v>-31.2</v>
      </c>
      <c r="Y8" s="414"/>
    </row>
    <row r="9" spans="1:25" s="5" customFormat="1" ht="12.75" customHeight="1">
      <c r="A9" s="414"/>
      <c r="B9" s="503">
        <v>1.65</v>
      </c>
      <c r="C9" s="527">
        <v>-0.15</v>
      </c>
      <c r="D9" s="526">
        <v>-30.2</v>
      </c>
      <c r="E9" s="414"/>
      <c r="F9" s="503">
        <v>5</v>
      </c>
      <c r="G9" s="527">
        <v>-0.18</v>
      </c>
      <c r="H9" s="526">
        <v>-30</v>
      </c>
      <c r="I9" s="414"/>
      <c r="J9" s="503">
        <v>14.35</v>
      </c>
      <c r="K9" s="525">
        <v>-0.02</v>
      </c>
      <c r="L9" s="526">
        <v>-30.1</v>
      </c>
      <c r="M9" s="104"/>
      <c r="N9" s="117">
        <v>23.9</v>
      </c>
      <c r="O9" s="525">
        <v>-0.03</v>
      </c>
      <c r="P9" s="526">
        <v>-29.9</v>
      </c>
      <c r="Q9" s="104"/>
      <c r="R9" s="117">
        <v>35.5</v>
      </c>
      <c r="S9" s="527">
        <v>-0.05</v>
      </c>
      <c r="T9" s="526">
        <v>-30.5</v>
      </c>
      <c r="U9" s="104"/>
      <c r="V9" s="117">
        <v>81.5</v>
      </c>
      <c r="W9" s="527">
        <v>-0.11</v>
      </c>
      <c r="X9" s="526">
        <v>-30.6</v>
      </c>
      <c r="Y9" s="414"/>
    </row>
    <row r="10" spans="1:25" s="5" customFormat="1" ht="12.75" customHeight="1">
      <c r="A10" s="414"/>
      <c r="B10" s="503">
        <v>1.84</v>
      </c>
      <c r="C10" s="527">
        <v>-0.16</v>
      </c>
      <c r="D10" s="526">
        <v>-30.3</v>
      </c>
      <c r="E10" s="414"/>
      <c r="F10" s="503">
        <v>5.7</v>
      </c>
      <c r="G10" s="527">
        <v>-0.19</v>
      </c>
      <c r="H10" s="526">
        <v>-30.1</v>
      </c>
      <c r="I10" s="414"/>
      <c r="J10" s="503">
        <v>15.1</v>
      </c>
      <c r="K10" s="525">
        <v>-0.02</v>
      </c>
      <c r="L10" s="526">
        <v>-29.7</v>
      </c>
      <c r="M10" s="104"/>
      <c r="N10" s="117">
        <v>25.1</v>
      </c>
      <c r="O10" s="525">
        <v>-0.03</v>
      </c>
      <c r="P10" s="526">
        <v>-29.6</v>
      </c>
      <c r="Q10" s="104"/>
      <c r="R10" s="117">
        <v>37.299999999999997</v>
      </c>
      <c r="S10" s="527">
        <v>-0.05</v>
      </c>
      <c r="T10" s="526">
        <v>-30.1</v>
      </c>
      <c r="U10" s="104"/>
      <c r="V10" s="117">
        <v>85.5</v>
      </c>
      <c r="W10" s="527">
        <v>-0.11</v>
      </c>
      <c r="X10" s="526">
        <v>-30.3</v>
      </c>
      <c r="Y10" s="414"/>
    </row>
    <row r="11" spans="1:25" s="5" customFormat="1" ht="13.5" customHeight="1">
      <c r="A11" s="414"/>
      <c r="B11" s="503">
        <v>2.0499999999999998</v>
      </c>
      <c r="C11" s="527">
        <v>-0.17</v>
      </c>
      <c r="D11" s="526">
        <v>-30.1</v>
      </c>
      <c r="E11" s="414"/>
      <c r="F11" s="503">
        <v>6.45</v>
      </c>
      <c r="G11" s="527">
        <v>-0.2</v>
      </c>
      <c r="H11" s="526">
        <v>-30.2</v>
      </c>
      <c r="I11" s="414"/>
      <c r="J11" s="503">
        <v>15.9</v>
      </c>
      <c r="K11" s="525">
        <v>-0.02</v>
      </c>
      <c r="L11" s="526">
        <v>-29.5</v>
      </c>
      <c r="M11" s="104"/>
      <c r="N11" s="117">
        <v>26.4</v>
      </c>
      <c r="O11" s="525">
        <v>-0.03</v>
      </c>
      <c r="P11" s="526">
        <v>-29.4</v>
      </c>
      <c r="Q11" s="104"/>
      <c r="R11" s="117">
        <v>39.299999999999997</v>
      </c>
      <c r="S11" s="527">
        <v>-0.05</v>
      </c>
      <c r="T11" s="526">
        <v>-29.8</v>
      </c>
      <c r="U11" s="104"/>
      <c r="V11" s="117">
        <v>90</v>
      </c>
      <c r="W11" s="527">
        <v>-0.11</v>
      </c>
      <c r="X11" s="526">
        <v>-30.1</v>
      </c>
      <c r="Y11" s="414"/>
    </row>
    <row r="12" spans="1:25" ht="12.75" customHeight="1">
      <c r="A12" s="413"/>
      <c r="B12" s="503">
        <v>2.2799999999999998</v>
      </c>
      <c r="C12" s="527">
        <v>-0.18</v>
      </c>
      <c r="D12" s="526">
        <v>-29.9</v>
      </c>
      <c r="E12" s="413"/>
      <c r="F12" s="503">
        <v>7.35</v>
      </c>
      <c r="G12" s="527">
        <v>-0.22</v>
      </c>
      <c r="H12" s="526">
        <v>-30.2</v>
      </c>
      <c r="I12" s="413"/>
      <c r="J12" s="503">
        <v>16.7</v>
      </c>
      <c r="K12" s="525">
        <v>-0.02</v>
      </c>
      <c r="L12" s="526">
        <v>-29.4</v>
      </c>
      <c r="M12" s="91"/>
      <c r="N12" s="117">
        <v>27.8</v>
      </c>
      <c r="O12" s="525">
        <v>-0.03</v>
      </c>
      <c r="P12" s="526">
        <v>-29.3</v>
      </c>
      <c r="Q12" s="91"/>
      <c r="R12" s="117">
        <v>41.3</v>
      </c>
      <c r="S12" s="527">
        <v>-0.05</v>
      </c>
      <c r="T12" s="526">
        <v>-29.7</v>
      </c>
      <c r="U12" s="91"/>
      <c r="V12" s="117">
        <v>95</v>
      </c>
      <c r="W12" s="527">
        <v>-0.1</v>
      </c>
      <c r="X12" s="526">
        <v>-30.1</v>
      </c>
      <c r="Y12" s="413"/>
    </row>
    <row r="13" spans="1:25" ht="12.75" customHeight="1">
      <c r="A13" s="413"/>
      <c r="B13" s="503">
        <v>2.54</v>
      </c>
      <c r="C13" s="527">
        <v>-0.19</v>
      </c>
      <c r="D13" s="526">
        <v>-29.9</v>
      </c>
      <c r="E13" s="413"/>
      <c r="F13" s="503">
        <v>8.35</v>
      </c>
      <c r="G13" s="527">
        <v>-0.23</v>
      </c>
      <c r="H13" s="526">
        <v>-30.1</v>
      </c>
      <c r="I13" s="413"/>
      <c r="J13" s="503">
        <v>17.600000000000001</v>
      </c>
      <c r="K13" s="525">
        <v>-0.02</v>
      </c>
      <c r="L13" s="526">
        <v>-29.5</v>
      </c>
      <c r="M13" s="91"/>
      <c r="N13" s="117">
        <v>29.2</v>
      </c>
      <c r="O13" s="525">
        <v>-0.03</v>
      </c>
      <c r="P13" s="526">
        <v>-29.4</v>
      </c>
      <c r="Q13" s="91"/>
      <c r="R13" s="117">
        <v>43.3</v>
      </c>
      <c r="S13" s="527">
        <v>-0.05</v>
      </c>
      <c r="T13" s="526">
        <v>-29.7</v>
      </c>
      <c r="U13" s="91"/>
      <c r="V13" s="117">
        <v>100</v>
      </c>
      <c r="W13" s="527">
        <v>-0.1</v>
      </c>
      <c r="X13" s="526">
        <v>-30.3</v>
      </c>
      <c r="Y13" s="413"/>
    </row>
    <row r="14" spans="1:25" ht="13.5" customHeight="1">
      <c r="A14" s="413"/>
      <c r="B14" s="503">
        <v>2.83</v>
      </c>
      <c r="C14" s="527">
        <v>-0.2</v>
      </c>
      <c r="D14" s="526">
        <v>-30.1</v>
      </c>
      <c r="E14" s="413"/>
      <c r="F14" s="503">
        <v>9.5</v>
      </c>
      <c r="G14" s="527">
        <v>-0.26</v>
      </c>
      <c r="H14" s="526">
        <v>-29.9</v>
      </c>
      <c r="I14" s="413"/>
      <c r="J14" s="503">
        <v>18.5</v>
      </c>
      <c r="K14" s="525">
        <v>-0.02</v>
      </c>
      <c r="L14" s="526">
        <v>-29.8</v>
      </c>
      <c r="M14" s="91"/>
      <c r="N14" s="117">
        <v>30.7</v>
      </c>
      <c r="O14" s="525">
        <v>-0.03</v>
      </c>
      <c r="P14" s="526">
        <v>-29.7</v>
      </c>
      <c r="Q14" s="91"/>
      <c r="R14" s="117">
        <v>45.7</v>
      </c>
      <c r="S14" s="527">
        <v>-0.05</v>
      </c>
      <c r="T14" s="526">
        <v>-30</v>
      </c>
      <c r="U14" s="91"/>
      <c r="V14" s="117">
        <v>105</v>
      </c>
      <c r="W14" s="527">
        <v>-0.1</v>
      </c>
      <c r="X14" s="526">
        <v>-30.6</v>
      </c>
      <c r="Y14" s="413"/>
    </row>
    <row r="15" spans="1:25" ht="12.75" customHeight="1">
      <c r="A15" s="413"/>
      <c r="B15" s="503">
        <v>3.16</v>
      </c>
      <c r="C15" s="527">
        <v>-0.22</v>
      </c>
      <c r="D15" s="526">
        <v>-30.4</v>
      </c>
      <c r="E15" s="413"/>
      <c r="F15" s="503">
        <v>10.8</v>
      </c>
      <c r="G15" s="527">
        <v>-0.28000000000000003</v>
      </c>
      <c r="H15" s="526">
        <v>-29.9</v>
      </c>
      <c r="I15" s="413"/>
      <c r="J15" s="503">
        <v>19.5</v>
      </c>
      <c r="K15" s="525">
        <v>-0.02</v>
      </c>
      <c r="L15" s="526">
        <v>-30.2</v>
      </c>
      <c r="M15" s="91"/>
      <c r="N15" s="117">
        <v>32.4</v>
      </c>
      <c r="O15" s="525">
        <v>-0.03</v>
      </c>
      <c r="P15" s="526">
        <v>-30.2</v>
      </c>
      <c r="Q15" s="91"/>
      <c r="R15" s="117">
        <v>48</v>
      </c>
      <c r="S15" s="527">
        <v>-0.05</v>
      </c>
      <c r="T15" s="526">
        <v>-30.3</v>
      </c>
      <c r="U15" s="91"/>
      <c r="V15" s="117">
        <v>110.6</v>
      </c>
      <c r="W15" s="527">
        <v>-0.1</v>
      </c>
      <c r="X15" s="526">
        <v>-31</v>
      </c>
      <c r="Y15" s="413"/>
    </row>
    <row r="16" spans="1:25" ht="13.5" customHeight="1" thickBot="1">
      <c r="A16" s="413"/>
      <c r="B16" s="54">
        <v>3.49</v>
      </c>
      <c r="C16" s="528">
        <v>-0.23</v>
      </c>
      <c r="D16" s="529">
        <v>-30.3</v>
      </c>
      <c r="E16" s="413"/>
      <c r="F16" s="54">
        <v>12.290000000000001</v>
      </c>
      <c r="G16" s="528">
        <v>-0.31</v>
      </c>
      <c r="H16" s="529">
        <v>-30.2</v>
      </c>
      <c r="I16" s="413"/>
      <c r="J16" s="54">
        <v>20.5</v>
      </c>
      <c r="K16" s="528">
        <v>-0.02</v>
      </c>
      <c r="L16" s="529">
        <v>-30</v>
      </c>
      <c r="M16" s="91"/>
      <c r="N16" s="118">
        <v>34</v>
      </c>
      <c r="O16" s="528">
        <v>-0.03</v>
      </c>
      <c r="P16" s="529">
        <v>-29.8</v>
      </c>
      <c r="Q16" s="91"/>
      <c r="R16" s="118">
        <v>50.5</v>
      </c>
      <c r="S16" s="528">
        <v>-0.05</v>
      </c>
      <c r="T16" s="529">
        <v>-30.6</v>
      </c>
      <c r="U16" s="91"/>
      <c r="V16" s="118">
        <v>116</v>
      </c>
      <c r="W16" s="528">
        <v>-0.1</v>
      </c>
      <c r="X16" s="529">
        <v>-30.4</v>
      </c>
      <c r="Y16" s="413"/>
    </row>
    <row r="17" spans="1:25" ht="12.75" customHeight="1">
      <c r="A17" s="413"/>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row>
    <row r="18" spans="1:25">
      <c r="A18" s="413"/>
      <c r="B18" s="415" t="s">
        <v>14</v>
      </c>
      <c r="C18" s="413"/>
      <c r="D18" s="413"/>
      <c r="E18" s="413"/>
      <c r="F18" s="413"/>
      <c r="G18" s="413"/>
      <c r="H18" s="413"/>
      <c r="I18" s="413"/>
      <c r="J18" s="413"/>
      <c r="K18" s="413"/>
      <c r="L18" s="413"/>
      <c r="M18" s="413"/>
      <c r="N18" s="413"/>
      <c r="O18" s="413"/>
      <c r="P18" s="413"/>
      <c r="Q18" s="413"/>
      <c r="R18" s="413"/>
      <c r="S18" s="413"/>
      <c r="T18" s="413"/>
      <c r="U18" s="413"/>
      <c r="V18" s="498"/>
      <c r="W18" s="498"/>
      <c r="X18" s="498"/>
      <c r="Y18" s="413"/>
    </row>
    <row r="19" spans="1:25" ht="12.75" customHeight="1">
      <c r="A19" s="413"/>
      <c r="B19" s="683" t="s">
        <v>316</v>
      </c>
      <c r="C19" s="683"/>
      <c r="D19" s="683"/>
      <c r="E19" s="683"/>
      <c r="F19" s="683"/>
      <c r="G19" s="683"/>
      <c r="H19" s="683"/>
      <c r="I19" s="683"/>
      <c r="J19" s="683"/>
      <c r="K19" s="683"/>
      <c r="L19" s="683"/>
      <c r="M19" s="683"/>
      <c r="N19" s="683"/>
      <c r="O19" s="683"/>
      <c r="P19" s="683"/>
      <c r="Q19" s="683"/>
      <c r="R19" s="683"/>
      <c r="S19" s="683"/>
      <c r="T19" s="683"/>
      <c r="U19" s="683"/>
      <c r="V19" s="683"/>
      <c r="W19" s="683"/>
      <c r="X19" s="683"/>
      <c r="Y19" s="413"/>
    </row>
    <row r="20" spans="1:25" ht="12.75" customHeight="1">
      <c r="A20" s="413"/>
      <c r="B20" s="683" t="s">
        <v>317</v>
      </c>
      <c r="C20" s="683"/>
      <c r="D20" s="683"/>
      <c r="E20" s="683"/>
      <c r="F20" s="683"/>
      <c r="G20" s="683"/>
      <c r="H20" s="683"/>
      <c r="I20" s="683"/>
      <c r="J20" s="683"/>
      <c r="K20" s="683"/>
      <c r="L20" s="683"/>
      <c r="M20" s="683"/>
      <c r="N20" s="683"/>
      <c r="O20" s="683"/>
      <c r="P20" s="683"/>
      <c r="Q20" s="683"/>
      <c r="R20" s="683"/>
      <c r="S20" s="683"/>
      <c r="T20" s="683"/>
      <c r="U20" s="683"/>
      <c r="V20" s="683"/>
      <c r="W20" s="683"/>
      <c r="X20" s="683"/>
      <c r="Y20" s="413"/>
    </row>
    <row r="21" spans="1:25" ht="12.75" customHeight="1">
      <c r="A21" s="413"/>
      <c r="B21" s="683" t="s">
        <v>318</v>
      </c>
      <c r="C21" s="683"/>
      <c r="D21" s="683"/>
      <c r="E21" s="683"/>
      <c r="F21" s="683"/>
      <c r="G21" s="683"/>
      <c r="H21" s="683"/>
      <c r="I21" s="683"/>
      <c r="J21" s="683"/>
      <c r="K21" s="683"/>
      <c r="L21" s="683"/>
      <c r="M21" s="683"/>
      <c r="N21" s="683"/>
      <c r="O21" s="683"/>
      <c r="P21" s="683"/>
      <c r="Q21" s="683"/>
      <c r="R21" s="683"/>
      <c r="S21" s="683"/>
      <c r="T21" s="683"/>
      <c r="U21" s="683"/>
      <c r="V21" s="683"/>
      <c r="W21" s="683"/>
      <c r="X21" s="683"/>
      <c r="Y21" s="413"/>
    </row>
    <row r="22" spans="1:25" ht="12.75" customHeight="1">
      <c r="A22" s="413"/>
      <c r="B22" s="683" t="s">
        <v>319</v>
      </c>
      <c r="C22" s="683"/>
      <c r="D22" s="683"/>
      <c r="E22" s="683"/>
      <c r="F22" s="683"/>
      <c r="G22" s="683"/>
      <c r="H22" s="683"/>
      <c r="I22" s="683"/>
      <c r="J22" s="683"/>
      <c r="K22" s="683"/>
      <c r="L22" s="683"/>
      <c r="M22" s="683"/>
      <c r="N22" s="683"/>
      <c r="O22" s="683"/>
      <c r="P22" s="683"/>
      <c r="Q22" s="683"/>
      <c r="R22" s="683"/>
      <c r="S22" s="683"/>
      <c r="T22" s="683"/>
      <c r="U22" s="683"/>
      <c r="V22" s="683"/>
      <c r="W22" s="683"/>
      <c r="X22" s="683"/>
      <c r="Y22" s="413"/>
    </row>
    <row r="23" spans="1:25" ht="12.75" customHeight="1">
      <c r="A23" s="413"/>
      <c r="B23" s="683" t="s">
        <v>320</v>
      </c>
      <c r="C23" s="683"/>
      <c r="D23" s="683"/>
      <c r="E23" s="683"/>
      <c r="F23" s="683"/>
      <c r="G23" s="683"/>
      <c r="H23" s="683"/>
      <c r="I23" s="683"/>
      <c r="J23" s="683"/>
      <c r="K23" s="683"/>
      <c r="L23" s="683"/>
      <c r="M23" s="683"/>
      <c r="N23" s="683"/>
      <c r="O23" s="683"/>
      <c r="P23" s="683"/>
      <c r="Q23" s="683"/>
      <c r="R23" s="683"/>
      <c r="S23" s="683"/>
      <c r="T23" s="683"/>
      <c r="U23" s="683"/>
      <c r="V23" s="683"/>
      <c r="W23" s="683"/>
      <c r="X23" s="683"/>
      <c r="Y23" s="413"/>
    </row>
    <row r="24" spans="1:25" ht="12.75" customHeight="1">
      <c r="A24" s="413"/>
      <c r="B24" s="683" t="s">
        <v>321</v>
      </c>
      <c r="C24" s="683"/>
      <c r="D24" s="683"/>
      <c r="E24" s="683"/>
      <c r="F24" s="683"/>
      <c r="G24" s="683"/>
      <c r="H24" s="683"/>
      <c r="I24" s="683"/>
      <c r="J24" s="683"/>
      <c r="K24" s="683"/>
      <c r="L24" s="683"/>
      <c r="M24" s="683"/>
      <c r="N24" s="683"/>
      <c r="O24" s="683"/>
      <c r="P24" s="683"/>
      <c r="Q24" s="683"/>
      <c r="R24" s="683"/>
      <c r="S24" s="683"/>
      <c r="T24" s="683"/>
      <c r="U24" s="683"/>
      <c r="V24" s="683"/>
      <c r="W24" s="683"/>
      <c r="X24" s="683"/>
      <c r="Y24" s="413"/>
    </row>
    <row r="25" spans="1:25">
      <c r="A25" s="413"/>
      <c r="B25" s="682" t="s">
        <v>323</v>
      </c>
      <c r="C25" s="682"/>
      <c r="D25" s="682"/>
      <c r="E25" s="682"/>
      <c r="F25" s="682"/>
      <c r="G25" s="682"/>
      <c r="H25" s="682"/>
      <c r="I25" s="682"/>
      <c r="J25" s="682"/>
      <c r="K25" s="682"/>
      <c r="L25" s="682"/>
      <c r="M25" s="682"/>
      <c r="N25" s="682"/>
      <c r="O25" s="682"/>
      <c r="P25" s="682"/>
      <c r="Q25" s="682"/>
      <c r="R25" s="682"/>
      <c r="S25" s="682"/>
      <c r="T25" s="682"/>
      <c r="U25" s="682"/>
      <c r="V25" s="682"/>
      <c r="W25" s="682"/>
      <c r="X25" s="682"/>
      <c r="Y25" s="576"/>
    </row>
    <row r="26" spans="1:25">
      <c r="A26" s="413"/>
      <c r="B26" s="681" t="s">
        <v>322</v>
      </c>
      <c r="C26" s="681"/>
      <c r="D26" s="681"/>
      <c r="E26" s="681"/>
      <c r="F26" s="681"/>
      <c r="G26" s="681"/>
      <c r="H26" s="681"/>
      <c r="I26" s="681"/>
      <c r="J26" s="681"/>
      <c r="K26" s="681"/>
      <c r="L26" s="681"/>
      <c r="M26" s="681"/>
      <c r="N26" s="681"/>
      <c r="O26" s="681"/>
      <c r="P26" s="681"/>
      <c r="Q26" s="681"/>
      <c r="R26" s="681"/>
      <c r="S26" s="681"/>
      <c r="T26" s="681"/>
      <c r="U26" s="681"/>
      <c r="V26" s="681"/>
      <c r="W26" s="681"/>
      <c r="X26" s="681"/>
      <c r="Y26" s="681"/>
    </row>
    <row r="27" spans="1:25">
      <c r="C27" s="253"/>
    </row>
  </sheetData>
  <sheetProtection insertRows="0" deleteRows="0"/>
  <mergeCells count="14">
    <mergeCell ref="B26:Y26"/>
    <mergeCell ref="V3:X3"/>
    <mergeCell ref="B3:D3"/>
    <mergeCell ref="F3:H3"/>
    <mergeCell ref="J3:L3"/>
    <mergeCell ref="N3:P3"/>
    <mergeCell ref="R3:T3"/>
    <mergeCell ref="B25:X25"/>
    <mergeCell ref="B19:X19"/>
    <mergeCell ref="B20:X20"/>
    <mergeCell ref="B21:X21"/>
    <mergeCell ref="B22:X22"/>
    <mergeCell ref="B23:X23"/>
    <mergeCell ref="B24:X24"/>
  </mergeCells>
  <pageMargins left="0.75" right="0.75" top="1" bottom="1"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theme="9" tint="-0.499984740745262"/>
    <pageSetUpPr fitToPage="1"/>
  </sheetPr>
  <dimension ref="B1:V131"/>
  <sheetViews>
    <sheetView zoomScale="90" zoomScaleNormal="90" workbookViewId="0">
      <selection activeCell="B2" sqref="B2"/>
    </sheetView>
  </sheetViews>
  <sheetFormatPr defaultColWidth="9.1796875" defaultRowHeight="13"/>
  <cols>
    <col min="1" max="1" width="2.7265625" style="4" customWidth="1"/>
    <col min="2" max="2" width="7.7265625" style="2" customWidth="1"/>
    <col min="3" max="3" width="7.7265625" style="4" customWidth="1"/>
    <col min="4" max="4" width="1.7265625" style="4" customWidth="1"/>
    <col min="5" max="5" width="7.7265625" style="2" customWidth="1"/>
    <col min="6" max="6" width="7.7265625" style="4" customWidth="1"/>
    <col min="7" max="7" width="1.7265625" style="4" customWidth="1"/>
    <col min="8" max="8" width="7.7265625" style="2" customWidth="1"/>
    <col min="9" max="9" width="7.7265625" style="4" customWidth="1"/>
    <col min="10" max="10" width="1.7265625" style="4" customWidth="1"/>
    <col min="11" max="12" width="7.7265625" style="4" customWidth="1"/>
    <col min="13" max="13" width="1.7265625" style="4" customWidth="1"/>
    <col min="14" max="16" width="7.7265625" style="4" customWidth="1"/>
    <col min="17" max="17" width="1.7265625" style="4" customWidth="1"/>
    <col min="18" max="19" width="7.7265625" style="4" customWidth="1"/>
    <col min="20" max="20" width="1.7265625" style="4" customWidth="1"/>
    <col min="21" max="22" width="7.7265625" style="4" customWidth="1"/>
    <col min="23" max="16384" width="9.1796875" style="4"/>
  </cols>
  <sheetData>
    <row r="1" spans="2:22" s="26" customFormat="1" ht="15.5">
      <c r="B1" s="40" t="s">
        <v>38</v>
      </c>
      <c r="C1" s="36"/>
      <c r="D1" s="36"/>
      <c r="E1" s="37"/>
      <c r="F1" s="36"/>
      <c r="G1" s="36"/>
      <c r="H1" s="37"/>
      <c r="I1" s="36"/>
      <c r="J1" s="36"/>
      <c r="K1" s="36"/>
      <c r="L1" s="36"/>
      <c r="M1" s="36"/>
      <c r="N1" s="36"/>
      <c r="O1" s="36"/>
      <c r="P1" s="36"/>
      <c r="Q1" s="36"/>
      <c r="R1" s="36"/>
      <c r="S1" s="36"/>
      <c r="T1" s="36"/>
      <c r="U1" s="36"/>
      <c r="V1" s="36"/>
    </row>
    <row r="2" spans="2:22" s="26" customFormat="1" ht="14.5" thickBot="1">
      <c r="B2" s="25"/>
      <c r="E2" s="25"/>
      <c r="H2" s="25"/>
    </row>
    <row r="3" spans="2:22">
      <c r="B3" s="692" t="s">
        <v>37</v>
      </c>
      <c r="C3" s="693"/>
      <c r="E3" s="694" t="s">
        <v>59</v>
      </c>
      <c r="F3" s="695"/>
      <c r="H3" s="696" t="s">
        <v>60</v>
      </c>
      <c r="I3" s="697"/>
      <c r="J3" s="3"/>
      <c r="K3" s="698" t="s">
        <v>16</v>
      </c>
      <c r="L3" s="699"/>
      <c r="N3" s="685" t="s">
        <v>162</v>
      </c>
      <c r="O3" s="686"/>
      <c r="P3" s="687"/>
      <c r="R3" s="690" t="s">
        <v>36</v>
      </c>
      <c r="S3" s="691"/>
      <c r="U3" s="688" t="s">
        <v>31</v>
      </c>
      <c r="V3" s="689"/>
    </row>
    <row r="4" spans="2:22">
      <c r="B4" s="20" t="s">
        <v>11</v>
      </c>
      <c r="C4" s="120" t="s">
        <v>3</v>
      </c>
      <c r="E4" s="20" t="s">
        <v>11</v>
      </c>
      <c r="F4" s="120" t="s">
        <v>3</v>
      </c>
      <c r="H4" s="20" t="s">
        <v>11</v>
      </c>
      <c r="I4" s="120" t="s">
        <v>3</v>
      </c>
      <c r="J4" s="16"/>
      <c r="K4" s="20" t="s">
        <v>11</v>
      </c>
      <c r="L4" s="120" t="s">
        <v>3</v>
      </c>
      <c r="N4" s="505" t="s">
        <v>11</v>
      </c>
      <c r="O4" s="506" t="s">
        <v>3</v>
      </c>
      <c r="P4" s="507" t="s">
        <v>163</v>
      </c>
      <c r="R4" s="20" t="s">
        <v>11</v>
      </c>
      <c r="S4" s="120" t="s">
        <v>3</v>
      </c>
      <c r="U4" s="20" t="s">
        <v>11</v>
      </c>
      <c r="V4" s="120" t="s">
        <v>3</v>
      </c>
    </row>
    <row r="5" spans="2:22" ht="13.5" thickBot="1">
      <c r="B5" s="21" t="s">
        <v>2</v>
      </c>
      <c r="C5" s="121" t="s">
        <v>0</v>
      </c>
      <c r="E5" s="21" t="s">
        <v>2</v>
      </c>
      <c r="F5" s="121" t="s">
        <v>0</v>
      </c>
      <c r="H5" s="21" t="s">
        <v>2</v>
      </c>
      <c r="I5" s="121" t="s">
        <v>0</v>
      </c>
      <c r="J5" s="16"/>
      <c r="K5" s="21" t="s">
        <v>2</v>
      </c>
      <c r="L5" s="121" t="s">
        <v>0</v>
      </c>
      <c r="N5" s="508" t="s">
        <v>2</v>
      </c>
      <c r="O5" s="509" t="s">
        <v>0</v>
      </c>
      <c r="P5" s="510" t="s">
        <v>0</v>
      </c>
      <c r="R5" s="21" t="s">
        <v>2</v>
      </c>
      <c r="S5" s="121" t="s">
        <v>17</v>
      </c>
      <c r="U5" s="21" t="s">
        <v>2</v>
      </c>
      <c r="V5" s="121" t="s">
        <v>17</v>
      </c>
    </row>
    <row r="6" spans="2:22" s="5" customFormat="1" ht="13.5" thickTop="1">
      <c r="B6" s="22">
        <v>1</v>
      </c>
      <c r="C6" s="31">
        <v>-0.02</v>
      </c>
      <c r="E6" s="22">
        <v>1</v>
      </c>
      <c r="F6" s="31">
        <v>-0.02</v>
      </c>
      <c r="H6" s="22">
        <v>1</v>
      </c>
      <c r="I6" s="31">
        <v>-0.02</v>
      </c>
      <c r="K6" s="22">
        <v>1</v>
      </c>
      <c r="L6" s="31">
        <v>-0.1</v>
      </c>
      <c r="M6" s="49"/>
      <c r="N6" s="511">
        <v>1</v>
      </c>
      <c r="O6" s="512">
        <v>-0.45</v>
      </c>
      <c r="P6" s="513">
        <v>-30</v>
      </c>
      <c r="R6" s="22">
        <v>1</v>
      </c>
      <c r="S6" s="31">
        <f>-Cable_Param("Loss",1,R6)</f>
        <v>-0.37472300000000003</v>
      </c>
      <c r="U6" s="22">
        <v>1</v>
      </c>
      <c r="V6" s="31">
        <f>-Cable_Param("Loss",4,U6)</f>
        <v>-1.4285142275</v>
      </c>
    </row>
    <row r="7" spans="2:22" s="5" customFormat="1">
      <c r="B7" s="23">
        <v>2</v>
      </c>
      <c r="C7" s="122">
        <v>-0.02</v>
      </c>
      <c r="E7" s="23">
        <v>2</v>
      </c>
      <c r="F7" s="122">
        <v>-0.02</v>
      </c>
      <c r="H7" s="23">
        <v>2</v>
      </c>
      <c r="I7" s="122">
        <v>-0.02</v>
      </c>
      <c r="K7" s="23">
        <v>2</v>
      </c>
      <c r="L7" s="122">
        <v>-0.1</v>
      </c>
      <c r="M7" s="49"/>
      <c r="N7" s="514">
        <v>2</v>
      </c>
      <c r="O7" s="515">
        <v>-0.45</v>
      </c>
      <c r="P7" s="516">
        <v>-30</v>
      </c>
      <c r="R7" s="23">
        <v>2</v>
      </c>
      <c r="S7" s="31">
        <f>-Cable_Param("Loss",1,R7)</f>
        <v>-0.54611952749970138</v>
      </c>
      <c r="U7" s="23">
        <v>2</v>
      </c>
      <c r="V7" s="31">
        <f>-Cable_Param("Loss",4,U7)</f>
        <v>-2.0204070932083793</v>
      </c>
    </row>
    <row r="8" spans="2:22" s="5" customFormat="1" ht="13.5" thickBot="1">
      <c r="B8" s="54">
        <f>fLO_Band2-Delta_F</f>
        <v>3.39</v>
      </c>
      <c r="C8" s="125">
        <v>-0.02</v>
      </c>
      <c r="E8" s="54">
        <f>fLO_Band2-Delta_F</f>
        <v>3.39</v>
      </c>
      <c r="F8" s="125">
        <v>-0.02</v>
      </c>
      <c r="H8" s="22">
        <v>4</v>
      </c>
      <c r="I8" s="31">
        <v>-0.02</v>
      </c>
      <c r="K8" s="54">
        <f>fLO_Band2-Delta_F</f>
        <v>3.39</v>
      </c>
      <c r="L8" s="125">
        <v>-0.13</v>
      </c>
      <c r="M8" s="49"/>
      <c r="N8" s="511">
        <v>4</v>
      </c>
      <c r="O8" s="512">
        <v>-0.45</v>
      </c>
      <c r="P8" s="513">
        <v>-30</v>
      </c>
      <c r="R8" s="54">
        <f>fLO_Band2-Delta_F</f>
        <v>3.39</v>
      </c>
      <c r="S8" s="125">
        <f>-Cable_Param("Loss",1,R8)</f>
        <v>-0.73272084611780752</v>
      </c>
      <c r="U8" s="22">
        <v>3</v>
      </c>
      <c r="V8" s="31">
        <f>-Cable_Param("Loss",4,U8)</f>
        <v>-2.4746551099714855</v>
      </c>
    </row>
    <row r="9" spans="2:22" s="5" customFormat="1">
      <c r="B9" s="53">
        <f>fLO_Band2+Delta_F</f>
        <v>3.4099999999999997</v>
      </c>
      <c r="C9" s="31">
        <v>-0.02</v>
      </c>
      <c r="E9" s="53">
        <f>fLO_Band2+Delta_F</f>
        <v>3.4099999999999997</v>
      </c>
      <c r="F9" s="31">
        <v>-0.02</v>
      </c>
      <c r="H9" s="23">
        <v>8</v>
      </c>
      <c r="I9" s="122">
        <v>-0.03</v>
      </c>
      <c r="K9" s="53">
        <f>fLO_Band2+Delta_F</f>
        <v>3.4099999999999997</v>
      </c>
      <c r="L9" s="31">
        <v>-0.13</v>
      </c>
      <c r="M9" s="49"/>
      <c r="N9" s="514">
        <v>8</v>
      </c>
      <c r="O9" s="515">
        <v>-0.45</v>
      </c>
      <c r="P9" s="516">
        <v>-30</v>
      </c>
      <c r="R9" s="53">
        <f>fLO_Band2+Delta_F</f>
        <v>3.4099999999999997</v>
      </c>
      <c r="S9" s="31">
        <f>-Cable_Param("Loss",1,R9)</f>
        <v>-0.73515572220101899</v>
      </c>
      <c r="U9" s="22">
        <v>4</v>
      </c>
      <c r="V9" s="31">
        <f>-Cable_Param("Loss",4,U9)</f>
        <v>-2.8576529100000001</v>
      </c>
    </row>
    <row r="10" spans="2:22" s="5" customFormat="1" ht="13.5" thickBot="1">
      <c r="B10" s="22">
        <v>4</v>
      </c>
      <c r="C10" s="31">
        <v>-0.02</v>
      </c>
      <c r="E10" s="22">
        <v>4</v>
      </c>
      <c r="F10" s="31">
        <v>-0.02</v>
      </c>
      <c r="H10" s="22">
        <v>12</v>
      </c>
      <c r="I10" s="122">
        <v>-0.03</v>
      </c>
      <c r="K10" s="22">
        <v>4</v>
      </c>
      <c r="L10" s="31">
        <v>-0.15</v>
      </c>
      <c r="M10" s="49"/>
      <c r="N10" s="517">
        <f>fLO_Band3-Delta_F</f>
        <v>12.290000000000001</v>
      </c>
      <c r="O10" s="518">
        <v>-0.45</v>
      </c>
      <c r="P10" s="519">
        <v>-30</v>
      </c>
      <c r="R10" s="22">
        <v>4</v>
      </c>
      <c r="S10" s="31">
        <f t="shared" ref="S10:S13" si="0">-Cable_Param("Loss",1,R10)</f>
        <v>-0.80469200000000007</v>
      </c>
      <c r="U10" s="23">
        <v>5</v>
      </c>
      <c r="V10" s="31">
        <f t="shared" ref="V10:V12" si="1">-Cable_Param("Loss",4,U10)</f>
        <v>-3.1951178951011547</v>
      </c>
    </row>
    <row r="11" spans="2:22" s="5" customFormat="1">
      <c r="B11" s="23">
        <v>8</v>
      </c>
      <c r="C11" s="122">
        <v>-0.03</v>
      </c>
      <c r="E11" s="23">
        <v>8</v>
      </c>
      <c r="F11" s="122">
        <v>-0.03</v>
      </c>
      <c r="H11" s="22">
        <v>16</v>
      </c>
      <c r="I11" s="122">
        <v>-0.03</v>
      </c>
      <c r="K11" s="23">
        <v>8</v>
      </c>
      <c r="L11" s="122">
        <v>-0.2</v>
      </c>
      <c r="M11" s="49"/>
      <c r="N11" s="520">
        <f>fLO_Band3+Delta_F</f>
        <v>12.31</v>
      </c>
      <c r="O11" s="512">
        <v>-0.2</v>
      </c>
      <c r="P11" s="513">
        <v>-30</v>
      </c>
      <c r="R11" s="23">
        <v>6</v>
      </c>
      <c r="S11" s="31">
        <f t="shared" si="0"/>
        <v>-1.0159558897200411</v>
      </c>
      <c r="U11" s="23">
        <v>6</v>
      </c>
      <c r="V11" s="31">
        <f t="shared" si="1"/>
        <v>-3.5002395146224199</v>
      </c>
    </row>
    <row r="12" spans="2:22" ht="13.5" thickBot="1">
      <c r="B12" s="54">
        <f>fLO_Band3-Delta_F</f>
        <v>12.290000000000001</v>
      </c>
      <c r="C12" s="125">
        <v>-0.03</v>
      </c>
      <c r="E12" s="54">
        <f>fLO_Band3-Delta_F</f>
        <v>12.290000000000001</v>
      </c>
      <c r="F12" s="125">
        <v>-0.03</v>
      </c>
      <c r="H12" s="22">
        <v>20</v>
      </c>
      <c r="I12" s="122">
        <v>-0.03</v>
      </c>
      <c r="K12" s="54">
        <f>fLO_Band3-Delta_F</f>
        <v>12.290000000000001</v>
      </c>
      <c r="L12" s="125">
        <v>-0.3</v>
      </c>
      <c r="M12" s="49"/>
      <c r="N12" s="511">
        <v>16</v>
      </c>
      <c r="O12" s="512">
        <v>-0.2</v>
      </c>
      <c r="P12" s="513">
        <v>-30</v>
      </c>
      <c r="R12" s="23">
        <v>8</v>
      </c>
      <c r="S12" s="31">
        <f t="shared" si="0"/>
        <v>-1.2027310549994028</v>
      </c>
      <c r="U12" s="22">
        <v>8</v>
      </c>
      <c r="V12" s="31">
        <f t="shared" si="1"/>
        <v>-4.0420630964167588</v>
      </c>
    </row>
    <row r="13" spans="2:22">
      <c r="B13" s="53">
        <f>fLO_Band3+Delta_F</f>
        <v>12.31</v>
      </c>
      <c r="C13" s="31">
        <v>-0.03</v>
      </c>
      <c r="E13" s="53">
        <f>fLO_Band3+Delta_F</f>
        <v>12.31</v>
      </c>
      <c r="F13" s="31">
        <v>-0.03</v>
      </c>
      <c r="H13" s="22">
        <v>28</v>
      </c>
      <c r="I13" s="122">
        <v>-0.03</v>
      </c>
      <c r="K13" s="53">
        <f>fLO_Band3+Delta_F</f>
        <v>12.31</v>
      </c>
      <c r="L13" s="31">
        <v>-0.05</v>
      </c>
      <c r="M13" s="49"/>
      <c r="N13" s="511">
        <v>20</v>
      </c>
      <c r="O13" s="512">
        <v>-0.2</v>
      </c>
      <c r="P13" s="513">
        <v>-30</v>
      </c>
      <c r="R13" s="22">
        <v>12</v>
      </c>
      <c r="S13" s="31">
        <f t="shared" si="0"/>
        <v>-1.5338656706143148</v>
      </c>
      <c r="U13" s="22">
        <v>10</v>
      </c>
      <c r="V13" s="31">
        <f t="shared" ref="V13" si="2">-Cable_Param("Loss",4,U13)</f>
        <v>-4.5194935538078003</v>
      </c>
    </row>
    <row r="14" spans="2:22" ht="13.5" thickBot="1">
      <c r="B14" s="22">
        <v>16</v>
      </c>
      <c r="C14" s="31">
        <v>-0.03</v>
      </c>
      <c r="E14" s="22">
        <v>16</v>
      </c>
      <c r="F14" s="122">
        <v>-0.03</v>
      </c>
      <c r="H14" s="22">
        <v>36</v>
      </c>
      <c r="I14" s="122">
        <v>-0.03</v>
      </c>
      <c r="K14" s="22">
        <v>16</v>
      </c>
      <c r="L14" s="31">
        <v>-0.05</v>
      </c>
      <c r="M14" s="49"/>
      <c r="N14" s="511">
        <v>28</v>
      </c>
      <c r="O14" s="512">
        <v>-0.2</v>
      </c>
      <c r="P14" s="513">
        <v>-30</v>
      </c>
      <c r="R14" s="24">
        <v>16</v>
      </c>
      <c r="S14" s="125">
        <f>-Cable_Param("Loss",1,R14)</f>
        <v>-1.830368</v>
      </c>
      <c r="U14" s="22">
        <v>12</v>
      </c>
      <c r="V14" s="31">
        <f t="shared" ref="V14:V21" si="3">-Cable_Param("Loss",4,U14)</f>
        <v>-4.9511835849429708</v>
      </c>
    </row>
    <row r="15" spans="2:22">
      <c r="B15" s="22">
        <v>20</v>
      </c>
      <c r="C15" s="31">
        <v>-0.04</v>
      </c>
      <c r="E15" s="22">
        <v>20</v>
      </c>
      <c r="F15" s="122">
        <v>-0.03</v>
      </c>
      <c r="H15" s="22">
        <v>44</v>
      </c>
      <c r="I15" s="122">
        <v>-0.03</v>
      </c>
      <c r="K15" s="22">
        <v>20</v>
      </c>
      <c r="L15" s="31">
        <v>-0.05</v>
      </c>
      <c r="M15" s="49"/>
      <c r="N15" s="511">
        <v>36</v>
      </c>
      <c r="O15" s="512">
        <v>-0.25</v>
      </c>
      <c r="P15" s="513">
        <v>-30</v>
      </c>
      <c r="U15" s="22">
        <v>14</v>
      </c>
      <c r="V15" s="31">
        <f t="shared" si="3"/>
        <v>-5.3482137481053167</v>
      </c>
    </row>
    <row r="16" spans="2:22">
      <c r="B16" s="22">
        <v>28</v>
      </c>
      <c r="C16" s="122">
        <v>-0.05</v>
      </c>
      <c r="E16" s="22">
        <v>28</v>
      </c>
      <c r="F16" s="122">
        <v>-0.03</v>
      </c>
      <c r="H16" s="22">
        <v>52</v>
      </c>
      <c r="I16" s="122">
        <v>-0.03</v>
      </c>
      <c r="K16" s="22">
        <v>28</v>
      </c>
      <c r="L16" s="122">
        <v>-0.05</v>
      </c>
      <c r="M16" s="49"/>
      <c r="N16" s="511">
        <v>44</v>
      </c>
      <c r="O16" s="512">
        <v>-0.2</v>
      </c>
      <c r="P16" s="513">
        <v>-30</v>
      </c>
      <c r="U16" s="22">
        <v>16</v>
      </c>
      <c r="V16" s="31">
        <f t="shared" si="3"/>
        <v>-5.7178036399999996</v>
      </c>
    </row>
    <row r="17" spans="2:22">
      <c r="B17" s="22">
        <v>36</v>
      </c>
      <c r="C17" s="31">
        <v>-0.05</v>
      </c>
      <c r="E17" s="22">
        <v>36</v>
      </c>
      <c r="F17" s="122">
        <v>-0.03</v>
      </c>
      <c r="H17" s="22">
        <v>68</v>
      </c>
      <c r="I17" s="122">
        <v>-0.03</v>
      </c>
      <c r="K17" s="22">
        <v>36</v>
      </c>
      <c r="L17" s="31">
        <v>-0.05</v>
      </c>
      <c r="M17" s="49"/>
      <c r="N17" s="511">
        <v>52</v>
      </c>
      <c r="O17" s="512">
        <v>-0.2</v>
      </c>
      <c r="P17" s="513">
        <v>-30</v>
      </c>
      <c r="U17" s="22">
        <v>18</v>
      </c>
      <c r="V17" s="31">
        <f t="shared" si="3"/>
        <v>-6.0649680096251366</v>
      </c>
    </row>
    <row r="18" spans="2:22">
      <c r="B18" s="22">
        <v>44</v>
      </c>
      <c r="C18" s="122">
        <v>-0.05</v>
      </c>
      <c r="E18" s="22">
        <v>44</v>
      </c>
      <c r="F18" s="122">
        <v>-0.03</v>
      </c>
      <c r="H18" s="22">
        <v>84</v>
      </c>
      <c r="I18" s="122">
        <v>-0.03</v>
      </c>
      <c r="K18" s="22">
        <v>44</v>
      </c>
      <c r="L18" s="122">
        <v>-0.05</v>
      </c>
      <c r="M18" s="49"/>
      <c r="N18" s="511">
        <v>68</v>
      </c>
      <c r="O18" s="521">
        <v>-0.7</v>
      </c>
      <c r="P18" s="513">
        <v>-30</v>
      </c>
      <c r="U18" s="22">
        <v>20</v>
      </c>
      <c r="V18" s="31">
        <f t="shared" si="3"/>
        <v>-6.3933580652023094</v>
      </c>
    </row>
    <row r="19" spans="2:22">
      <c r="B19" s="22">
        <v>52</v>
      </c>
      <c r="C19" s="31">
        <v>-0.05</v>
      </c>
      <c r="E19" s="22">
        <v>52</v>
      </c>
      <c r="F19" s="122">
        <v>-0.03</v>
      </c>
      <c r="H19" s="22">
        <v>100</v>
      </c>
      <c r="I19" s="123">
        <v>-0.04</v>
      </c>
      <c r="K19" s="22">
        <v>52</v>
      </c>
      <c r="L19" s="31">
        <v>-0.05</v>
      </c>
      <c r="M19" s="49"/>
      <c r="N19" s="511">
        <v>84</v>
      </c>
      <c r="O19" s="521">
        <v>-0.55000000000000004</v>
      </c>
      <c r="P19" s="513">
        <v>-30</v>
      </c>
      <c r="U19" s="22">
        <v>22</v>
      </c>
      <c r="V19" s="31">
        <f t="shared" si="3"/>
        <v>-6.7057301740113422</v>
      </c>
    </row>
    <row r="20" spans="2:22" ht="13.5" thickBot="1">
      <c r="B20" s="22">
        <v>68</v>
      </c>
      <c r="C20" s="122">
        <v>-0.05</v>
      </c>
      <c r="E20" s="22">
        <v>68</v>
      </c>
      <c r="F20" s="122">
        <v>-0.03</v>
      </c>
      <c r="H20" s="24">
        <v>116</v>
      </c>
      <c r="I20" s="124">
        <v>-0.05</v>
      </c>
      <c r="K20" s="22">
        <v>68</v>
      </c>
      <c r="L20" s="123">
        <v>-0.05</v>
      </c>
      <c r="M20" s="49"/>
      <c r="N20" s="511">
        <v>100</v>
      </c>
      <c r="O20" s="521">
        <v>-0.5</v>
      </c>
      <c r="P20" s="513">
        <v>-30</v>
      </c>
      <c r="U20" s="22">
        <v>25</v>
      </c>
      <c r="V20" s="31">
        <f t="shared" si="3"/>
        <v>-7.1488156875</v>
      </c>
    </row>
    <row r="21" spans="2:22" ht="13.5" thickBot="1">
      <c r="B21" s="22">
        <v>84</v>
      </c>
      <c r="C21" s="31">
        <v>-0.06</v>
      </c>
      <c r="E21" s="22">
        <v>84</v>
      </c>
      <c r="F21" s="122">
        <v>-0.03</v>
      </c>
      <c r="H21" s="18"/>
      <c r="I21" s="14"/>
      <c r="K21" s="22">
        <v>84</v>
      </c>
      <c r="L21" s="126">
        <v>-0.06</v>
      </c>
      <c r="N21" s="522">
        <v>116</v>
      </c>
      <c r="O21" s="523">
        <v>-0.5</v>
      </c>
      <c r="P21" s="524">
        <v>-30</v>
      </c>
      <c r="U21" s="22">
        <v>28</v>
      </c>
      <c r="V21" s="31">
        <f t="shared" si="3"/>
        <v>-7.566076997930141</v>
      </c>
    </row>
    <row r="22" spans="2:22">
      <c r="B22" s="22">
        <v>100</v>
      </c>
      <c r="C22" s="123">
        <v>-7.0000000000000007E-2</v>
      </c>
      <c r="E22" s="22">
        <v>100</v>
      </c>
      <c r="F22" s="123">
        <v>-0.04</v>
      </c>
      <c r="K22" s="22">
        <v>100</v>
      </c>
      <c r="L22" s="123">
        <v>-7.0000000000000007E-2</v>
      </c>
      <c r="N22" s="684" t="s">
        <v>294</v>
      </c>
      <c r="O22" s="684"/>
      <c r="P22" s="684"/>
      <c r="U22" s="22">
        <v>31</v>
      </c>
      <c r="V22" s="31">
        <f t="shared" ref="V22" si="4">-Cable_Param("Loss",4,U22)</f>
        <v>-7.961571251022562</v>
      </c>
    </row>
    <row r="23" spans="2:22" ht="13.5" thickBot="1">
      <c r="B23" s="24">
        <v>116</v>
      </c>
      <c r="C23" s="124">
        <v>-0.08</v>
      </c>
      <c r="E23" s="24">
        <v>116</v>
      </c>
      <c r="F23" s="124">
        <v>-0.05</v>
      </c>
      <c r="K23" s="24">
        <v>116</v>
      </c>
      <c r="L23" s="124">
        <v>-0.08</v>
      </c>
      <c r="U23" s="23">
        <v>35</v>
      </c>
      <c r="V23" s="122">
        <f>-Cable_Param("Loss",4,U23)</f>
        <v>-8.4602849408824383</v>
      </c>
    </row>
    <row r="24" spans="2:22">
      <c r="B24" s="18"/>
      <c r="C24" s="14"/>
      <c r="D24" s="104"/>
      <c r="E24" s="18"/>
      <c r="F24" s="14"/>
      <c r="G24" s="104"/>
      <c r="H24" s="104"/>
      <c r="I24" s="104"/>
      <c r="U24" s="379">
        <v>39</v>
      </c>
      <c r="V24" s="380">
        <f t="shared" ref="V24:V27" si="5">-Cable_Param("Loss",4,U24)</f>
        <v>-8.9312955038085882</v>
      </c>
    </row>
    <row r="25" spans="2:22" s="5" customFormat="1">
      <c r="B25" s="2"/>
      <c r="C25" s="4"/>
      <c r="D25" s="104"/>
      <c r="E25" s="2"/>
      <c r="F25" s="4"/>
      <c r="G25" s="104"/>
      <c r="H25" s="104"/>
      <c r="I25" s="104"/>
      <c r="J25" s="104"/>
      <c r="K25" s="104"/>
      <c r="L25" s="104"/>
      <c r="M25" s="49"/>
      <c r="U25" s="381">
        <v>43</v>
      </c>
      <c r="V25" s="382">
        <f t="shared" si="5"/>
        <v>-9.3787725977851668</v>
      </c>
    </row>
    <row r="26" spans="2:22" s="5" customFormat="1">
      <c r="B26" s="2"/>
      <c r="C26" s="4"/>
      <c r="E26" s="2"/>
      <c r="F26" s="4"/>
      <c r="M26" s="49"/>
      <c r="U26" s="379">
        <v>47</v>
      </c>
      <c r="V26" s="380">
        <f t="shared" si="5"/>
        <v>-9.8059343041019709</v>
      </c>
    </row>
    <row r="27" spans="2:22" s="5" customFormat="1" ht="13.5" thickBot="1">
      <c r="B27" s="28" t="s">
        <v>14</v>
      </c>
      <c r="C27" s="104"/>
      <c r="E27" s="104"/>
      <c r="F27" s="104"/>
      <c r="M27" s="49"/>
      <c r="U27" s="383">
        <v>51</v>
      </c>
      <c r="V27" s="384">
        <f t="shared" si="5"/>
        <v>-10.215325967001755</v>
      </c>
    </row>
    <row r="28" spans="2:22" s="5" customFormat="1">
      <c r="B28" s="177" t="s">
        <v>82</v>
      </c>
      <c r="C28" s="104"/>
      <c r="E28" s="104"/>
      <c r="F28" s="104"/>
      <c r="M28" s="49"/>
      <c r="U28" s="4"/>
      <c r="V28" s="4"/>
    </row>
    <row r="29" spans="2:22" s="5" customFormat="1">
      <c r="B29" s="29" t="s">
        <v>83</v>
      </c>
      <c r="M29" s="49"/>
      <c r="U29" s="4"/>
      <c r="V29" s="4"/>
    </row>
    <row r="30" spans="2:22">
      <c r="B30" s="29" t="s">
        <v>15</v>
      </c>
      <c r="C30" s="5"/>
      <c r="E30" s="5"/>
      <c r="F30" s="5"/>
      <c r="M30" s="49"/>
    </row>
    <row r="31" spans="2:22">
      <c r="B31" s="29" t="s">
        <v>18</v>
      </c>
      <c r="C31" s="5"/>
      <c r="E31" s="5"/>
      <c r="F31" s="5"/>
      <c r="M31" s="49"/>
    </row>
    <row r="32" spans="2:22">
      <c r="B32" s="30" t="s">
        <v>71</v>
      </c>
      <c r="M32" s="49"/>
    </row>
    <row r="33" spans="2:22">
      <c r="B33" s="504" t="s">
        <v>100</v>
      </c>
      <c r="D33" s="91"/>
      <c r="M33" s="49"/>
    </row>
    <row r="34" spans="2:22">
      <c r="B34" s="504" t="s">
        <v>161</v>
      </c>
      <c r="M34" s="49"/>
      <c r="U34" s="5"/>
      <c r="V34" s="5"/>
    </row>
    <row r="35" spans="2:22">
      <c r="M35" s="49"/>
      <c r="U35" s="5"/>
      <c r="V35" s="5"/>
    </row>
    <row r="36" spans="2:22">
      <c r="C36" s="91"/>
      <c r="E36" s="92"/>
      <c r="F36" s="91"/>
      <c r="M36" s="49"/>
      <c r="U36" s="5"/>
      <c r="V36" s="5"/>
    </row>
    <row r="37" spans="2:22">
      <c r="U37" s="5"/>
      <c r="V37" s="5"/>
    </row>
    <row r="38" spans="2:22">
      <c r="U38" s="5"/>
      <c r="V38" s="5"/>
    </row>
    <row r="39" spans="2:22">
      <c r="J39" s="34"/>
      <c r="U39" s="5"/>
      <c r="V39" s="5"/>
    </row>
    <row r="40" spans="2:22">
      <c r="H40" s="18"/>
      <c r="I40" s="14"/>
      <c r="J40" s="34"/>
    </row>
    <row r="41" spans="2:22">
      <c r="H41" s="35"/>
      <c r="I41" s="34"/>
      <c r="J41" s="34"/>
    </row>
    <row r="42" spans="2:22">
      <c r="E42" s="18"/>
      <c r="F42" s="14"/>
      <c r="H42" s="18"/>
      <c r="I42" s="14"/>
    </row>
    <row r="43" spans="2:22">
      <c r="C43" s="14"/>
      <c r="K43" s="18"/>
      <c r="L43" s="14"/>
    </row>
    <row r="44" spans="2:22">
      <c r="K44" s="34"/>
      <c r="L44" s="34"/>
    </row>
    <row r="45" spans="2:22">
      <c r="K45" s="18"/>
      <c r="L45" s="14"/>
    </row>
    <row r="48" spans="2:22">
      <c r="B48" s="4"/>
    </row>
    <row r="49" spans="2:9">
      <c r="B49" s="4"/>
    </row>
    <row r="52" spans="2:9">
      <c r="H52" s="4"/>
    </row>
    <row r="53" spans="2:9">
      <c r="E53" s="4"/>
    </row>
    <row r="54" spans="2:9">
      <c r="B54" s="4"/>
      <c r="E54" s="4"/>
    </row>
    <row r="55" spans="2:9">
      <c r="B55" s="4"/>
      <c r="E55" s="4"/>
    </row>
    <row r="56" spans="2:9">
      <c r="B56" s="4"/>
      <c r="E56" s="4"/>
    </row>
    <row r="57" spans="2:9">
      <c r="B57" s="4"/>
    </row>
    <row r="61" spans="2:9">
      <c r="I61" s="2"/>
    </row>
    <row r="62" spans="2:9">
      <c r="I62" s="2"/>
    </row>
    <row r="73" spans="2:9">
      <c r="B73" s="4"/>
    </row>
    <row r="74" spans="2:9">
      <c r="B74" s="4"/>
    </row>
    <row r="75" spans="2:9">
      <c r="B75" s="4"/>
    </row>
    <row r="76" spans="2:9">
      <c r="B76" s="4"/>
    </row>
    <row r="78" spans="2:9">
      <c r="F78" s="2"/>
    </row>
    <row r="79" spans="2:9">
      <c r="B79" s="4"/>
      <c r="C79" s="2"/>
      <c r="F79" s="2"/>
    </row>
    <row r="80" spans="2:9">
      <c r="B80" s="4"/>
      <c r="C80" s="2"/>
      <c r="F80" s="2"/>
      <c r="I80" s="2"/>
    </row>
    <row r="81" spans="2:9">
      <c r="B81" s="4"/>
      <c r="C81" s="2"/>
      <c r="I81" s="2"/>
    </row>
    <row r="82" spans="2:9">
      <c r="B82" s="4"/>
      <c r="I82" s="2"/>
    </row>
    <row r="83" spans="2:9">
      <c r="B83" s="4"/>
    </row>
    <row r="84" spans="2:9">
      <c r="B84" s="4"/>
    </row>
    <row r="85" spans="2:9">
      <c r="B85" s="4"/>
    </row>
    <row r="86" spans="2:9">
      <c r="B86" s="4"/>
    </row>
    <row r="87" spans="2:9">
      <c r="B87" s="4"/>
    </row>
    <row r="88" spans="2:9">
      <c r="B88" s="4"/>
    </row>
    <row r="89" spans="2:9">
      <c r="B89" s="4"/>
    </row>
    <row r="90" spans="2:9">
      <c r="B90" s="4"/>
    </row>
    <row r="91" spans="2:9">
      <c r="B91" s="4"/>
    </row>
    <row r="92" spans="2:9">
      <c r="B92" s="4"/>
    </row>
    <row r="93" spans="2:9">
      <c r="B93" s="4"/>
    </row>
    <row r="94" spans="2:9">
      <c r="B94" s="4"/>
    </row>
    <row r="95" spans="2:9">
      <c r="B95" s="4"/>
    </row>
    <row r="96" spans="2:9">
      <c r="B96" s="4"/>
    </row>
    <row r="98" spans="2:9">
      <c r="F98" s="2"/>
    </row>
    <row r="99" spans="2:9">
      <c r="B99" s="4"/>
      <c r="C99" s="2"/>
      <c r="F99" s="2"/>
    </row>
    <row r="100" spans="2:9">
      <c r="B100" s="4"/>
      <c r="C100" s="2"/>
      <c r="F100" s="2"/>
    </row>
    <row r="101" spans="2:9">
      <c r="B101" s="4"/>
      <c r="C101" s="2"/>
    </row>
    <row r="102" spans="2:9">
      <c r="B102" s="4"/>
    </row>
    <row r="103" spans="2:9">
      <c r="B103" s="4"/>
      <c r="I103" s="2"/>
    </row>
    <row r="104" spans="2:9">
      <c r="B104" s="4"/>
      <c r="I104" s="2"/>
    </row>
    <row r="105" spans="2:9">
      <c r="B105" s="4"/>
      <c r="I105" s="2"/>
    </row>
    <row r="106" spans="2:9">
      <c r="B106" s="4"/>
    </row>
    <row r="107" spans="2:9">
      <c r="B107" s="4"/>
    </row>
    <row r="108" spans="2:9">
      <c r="B108" s="4"/>
    </row>
    <row r="109" spans="2:9">
      <c r="B109" s="4"/>
    </row>
    <row r="110" spans="2:9">
      <c r="B110" s="4"/>
    </row>
    <row r="111" spans="2:9">
      <c r="B111" s="4"/>
    </row>
    <row r="112" spans="2:9">
      <c r="B112" s="4"/>
    </row>
    <row r="113" spans="2:6">
      <c r="B113" s="4"/>
    </row>
    <row r="114" spans="2:6">
      <c r="B114" s="4"/>
    </row>
    <row r="115" spans="2:6">
      <c r="B115" s="4"/>
    </row>
    <row r="116" spans="2:6">
      <c r="B116" s="4"/>
    </row>
    <row r="117" spans="2:6">
      <c r="B117" s="4"/>
    </row>
    <row r="118" spans="2:6">
      <c r="B118" s="4"/>
    </row>
    <row r="119" spans="2:6">
      <c r="B119" s="4"/>
    </row>
    <row r="120" spans="2:6">
      <c r="B120" s="4"/>
    </row>
    <row r="121" spans="2:6">
      <c r="B121" s="4"/>
      <c r="F121" s="2"/>
    </row>
    <row r="122" spans="2:6">
      <c r="B122" s="4"/>
      <c r="C122" s="2"/>
      <c r="F122" s="2"/>
    </row>
    <row r="123" spans="2:6">
      <c r="B123" s="4"/>
      <c r="C123" s="2"/>
      <c r="F123" s="2"/>
    </row>
    <row r="124" spans="2:6">
      <c r="B124" s="4"/>
      <c r="C124" s="2"/>
    </row>
    <row r="125" spans="2:6">
      <c r="B125" s="4"/>
    </row>
    <row r="126" spans="2:6">
      <c r="B126" s="4"/>
    </row>
    <row r="127" spans="2:6">
      <c r="B127" s="4"/>
    </row>
    <row r="128" spans="2:6">
      <c r="B128" s="4"/>
    </row>
    <row r="129" spans="2:2">
      <c r="B129" s="4"/>
    </row>
    <row r="130" spans="2:2">
      <c r="B130" s="4"/>
    </row>
    <row r="131" spans="2:2">
      <c r="B131" s="4"/>
    </row>
  </sheetData>
  <sheetProtection insertRows="0" deleteRows="0"/>
  <mergeCells count="8">
    <mergeCell ref="N22:P22"/>
    <mergeCell ref="N3:P3"/>
    <mergeCell ref="U3:V3"/>
    <mergeCell ref="R3:S3"/>
    <mergeCell ref="B3:C3"/>
    <mergeCell ref="E3:F3"/>
    <mergeCell ref="H3:I3"/>
    <mergeCell ref="K3:L3"/>
  </mergeCells>
  <printOptions horizontalCentered="1" verticalCentered="1"/>
  <pageMargins left="0.75" right="0.75" top="1" bottom="1" header="0.5" footer="0.5"/>
  <pageSetup scale="9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rgb="FF00B0F0"/>
    <pageSetUpPr fitToPage="1"/>
  </sheetPr>
  <dimension ref="A1:Q32"/>
  <sheetViews>
    <sheetView zoomScale="90" zoomScaleNormal="90" workbookViewId="0">
      <selection activeCell="B2" sqref="B2"/>
    </sheetView>
  </sheetViews>
  <sheetFormatPr defaultColWidth="9.1796875" defaultRowHeight="13"/>
  <cols>
    <col min="1" max="1" width="2.7265625" style="4" customWidth="1"/>
    <col min="2" max="4" width="6.7265625" style="4" customWidth="1"/>
    <col min="5" max="5" width="2.7265625" style="4" customWidth="1"/>
    <col min="6" max="8" width="6.7265625" style="4" customWidth="1"/>
    <col min="9" max="9" width="2.7265625" style="4" customWidth="1"/>
    <col min="10" max="12" width="6.7265625" style="4" customWidth="1"/>
    <col min="13" max="13" width="2.7265625" style="4" customWidth="1"/>
    <col min="14" max="16" width="6.7265625" style="4" customWidth="1"/>
    <col min="17" max="16384" width="9.1796875" style="4"/>
  </cols>
  <sheetData>
    <row r="1" spans="1:16" s="26" customFormat="1" ht="15.5">
      <c r="A1" s="112"/>
      <c r="B1" s="32" t="s">
        <v>99</v>
      </c>
      <c r="C1" s="33"/>
      <c r="D1" s="33"/>
      <c r="E1" s="33"/>
      <c r="F1" s="33"/>
      <c r="G1" s="33"/>
      <c r="H1" s="33"/>
      <c r="I1" s="33"/>
      <c r="J1" s="33"/>
      <c r="K1" s="33"/>
      <c r="L1" s="33"/>
      <c r="M1" s="33"/>
      <c r="N1" s="33"/>
      <c r="O1" s="33"/>
      <c r="P1" s="33"/>
    </row>
    <row r="2" spans="1:16" s="26" customFormat="1" ht="14.5" thickBot="1"/>
    <row r="3" spans="1:16" ht="18">
      <c r="B3" s="666">
        <v>3</v>
      </c>
      <c r="C3" s="667"/>
      <c r="D3" s="668"/>
      <c r="F3" s="669">
        <v>4</v>
      </c>
      <c r="G3" s="670"/>
      <c r="H3" s="671"/>
      <c r="J3" s="672">
        <v>5</v>
      </c>
      <c r="K3" s="673"/>
      <c r="L3" s="674"/>
      <c r="N3" s="660">
        <v>6</v>
      </c>
      <c r="O3" s="661"/>
      <c r="P3" s="662"/>
    </row>
    <row r="4" spans="1:16">
      <c r="B4" s="176" t="s">
        <v>74</v>
      </c>
      <c r="C4" s="700" t="s">
        <v>112</v>
      </c>
      <c r="D4" s="701"/>
      <c r="E4" s="91"/>
      <c r="F4" s="176" t="s">
        <v>74</v>
      </c>
      <c r="G4" s="700" t="s">
        <v>75</v>
      </c>
      <c r="H4" s="701"/>
      <c r="I4" s="91"/>
      <c r="J4" s="176" t="s">
        <v>74</v>
      </c>
      <c r="K4" s="700" t="s">
        <v>76</v>
      </c>
      <c r="L4" s="701"/>
      <c r="M4" s="91"/>
      <c r="N4" s="176" t="s">
        <v>74</v>
      </c>
      <c r="O4" s="700" t="s">
        <v>77</v>
      </c>
      <c r="P4" s="701"/>
    </row>
    <row r="5" spans="1:16">
      <c r="B5" s="20" t="s">
        <v>11</v>
      </c>
      <c r="C5" s="120" t="s">
        <v>102</v>
      </c>
      <c r="D5" s="120" t="s">
        <v>4</v>
      </c>
      <c r="F5" s="20" t="s">
        <v>11</v>
      </c>
      <c r="G5" s="120" t="s">
        <v>102</v>
      </c>
      <c r="H5" s="120" t="s">
        <v>4</v>
      </c>
      <c r="J5" s="20" t="s">
        <v>11</v>
      </c>
      <c r="K5" s="120" t="s">
        <v>102</v>
      </c>
      <c r="L5" s="120" t="s">
        <v>4</v>
      </c>
      <c r="N5" s="20" t="s">
        <v>11</v>
      </c>
      <c r="O5" s="120" t="s">
        <v>102</v>
      </c>
      <c r="P5" s="120" t="s">
        <v>4</v>
      </c>
    </row>
    <row r="6" spans="1:16" ht="13.5" thickBot="1">
      <c r="B6" s="21" t="s">
        <v>2</v>
      </c>
      <c r="C6" s="121" t="s">
        <v>17</v>
      </c>
      <c r="D6" s="121" t="s">
        <v>0</v>
      </c>
      <c r="F6" s="21" t="s">
        <v>2</v>
      </c>
      <c r="G6" s="121" t="s">
        <v>17</v>
      </c>
      <c r="H6" s="121" t="s">
        <v>0</v>
      </c>
      <c r="J6" s="21" t="s">
        <v>2</v>
      </c>
      <c r="K6" s="121" t="s">
        <v>17</v>
      </c>
      <c r="L6" s="121" t="s">
        <v>0</v>
      </c>
      <c r="N6" s="21" t="s">
        <v>2</v>
      </c>
      <c r="O6" s="121" t="s">
        <v>17</v>
      </c>
      <c r="P6" s="121" t="s">
        <v>0</v>
      </c>
    </row>
    <row r="7" spans="1:16" s="5" customFormat="1" ht="13.5" customHeight="1" thickTop="1">
      <c r="B7" s="137">
        <v>12</v>
      </c>
      <c r="C7" s="212">
        <f t="shared" ref="C7:C22" si="0">-Waveguide_loss(WG_Size_Band3,"Au",$B7)</f>
        <v>-0.39669834369189094</v>
      </c>
      <c r="D7" s="212">
        <f t="shared" ref="D7:D22" si="1">-OMT_loss(WG_Size_Band3,"Au",$B7)</f>
        <v>-0.1116705837492673</v>
      </c>
      <c r="F7" s="216">
        <v>20</v>
      </c>
      <c r="G7" s="212">
        <f t="shared" ref="G7:G22" si="2">-Waveguide_loss(WG_Size_Band4,"Au",$F7)</f>
        <v>-0.82635920788998996</v>
      </c>
      <c r="H7" s="212">
        <f t="shared" ref="H7:H22" si="3">-OMT_loss(WG_Size_Band4,"Au",$F7)</f>
        <v>-0.14048106534129834</v>
      </c>
      <c r="J7" s="22">
        <v>30</v>
      </c>
      <c r="K7" s="130">
        <f t="shared" ref="K7:K22" si="4">-Waveguide_loss(WG_Size_Band5,"Au",$J7)</f>
        <v>-1.6118674222010683</v>
      </c>
      <c r="L7" s="130">
        <f t="shared" ref="L7:L22" si="5">-OMT_loss(WG_Size_Band5,"Au",$J7)</f>
        <v>-0.18052915128651967</v>
      </c>
      <c r="N7" s="22">
        <v>70</v>
      </c>
      <c r="O7" s="130">
        <f t="shared" ref="O7:O23" si="6">-Waveguide_loss(WG_Size_Band6,"Au",$N7)</f>
        <v>-4.7389459626080628</v>
      </c>
      <c r="P7" s="130">
        <f t="shared" ref="P7:P23" si="7">-OMT_loss(WG_Size_Band6,"Au",$N7)</f>
        <v>-0.23694729813040316</v>
      </c>
    </row>
    <row r="8" spans="1:16" s="5" customFormat="1" ht="12.75" customHeight="1">
      <c r="B8" s="117">
        <v>12.3</v>
      </c>
      <c r="C8" s="131">
        <f t="shared" si="0"/>
        <v>-0.36595444697587354</v>
      </c>
      <c r="D8" s="131">
        <f t="shared" si="1"/>
        <v>-0.10301617682370841</v>
      </c>
      <c r="F8" s="117">
        <v>20.5</v>
      </c>
      <c r="G8" s="131">
        <f t="shared" si="2"/>
        <v>-0.76511558229700749</v>
      </c>
      <c r="H8" s="131">
        <f t="shared" si="3"/>
        <v>-0.13006964899049131</v>
      </c>
      <c r="J8" s="23">
        <v>31</v>
      </c>
      <c r="K8" s="131">
        <f t="shared" si="4"/>
        <v>-1.4463582958039092</v>
      </c>
      <c r="L8" s="131">
        <f t="shared" si="5"/>
        <v>-0.16199212913003785</v>
      </c>
      <c r="N8" s="23">
        <v>72</v>
      </c>
      <c r="O8" s="131">
        <f t="shared" si="6"/>
        <v>-4.4099250334920539</v>
      </c>
      <c r="P8" s="131">
        <f t="shared" si="7"/>
        <v>-0.22049625167460271</v>
      </c>
    </row>
    <row r="9" spans="1:16" s="5" customFormat="1" ht="13.5" customHeight="1">
      <c r="B9" s="117">
        <v>12.5</v>
      </c>
      <c r="C9" s="131">
        <f t="shared" si="0"/>
        <v>-0.34959940981224874</v>
      </c>
      <c r="D9" s="131">
        <f t="shared" si="1"/>
        <v>-9.8412233862148035E-2</v>
      </c>
      <c r="F9" s="23">
        <v>21</v>
      </c>
      <c r="G9" s="131">
        <f t="shared" si="2"/>
        <v>-0.71771336999311952</v>
      </c>
      <c r="H9" s="131">
        <f t="shared" si="3"/>
        <v>-0.12201127289883035</v>
      </c>
      <c r="J9" s="23">
        <v>32</v>
      </c>
      <c r="K9" s="131">
        <f t="shared" si="4"/>
        <v>-1.3294058842224807</v>
      </c>
      <c r="L9" s="131">
        <f t="shared" si="5"/>
        <v>-0.14889345903291787</v>
      </c>
      <c r="N9" s="23">
        <v>74</v>
      </c>
      <c r="O9" s="131">
        <f t="shared" si="6"/>
        <v>-4.15450218781824</v>
      </c>
      <c r="P9" s="131">
        <f t="shared" si="7"/>
        <v>-0.20772510939091202</v>
      </c>
    </row>
    <row r="10" spans="1:16" s="5" customFormat="1" ht="12.75" customHeight="1">
      <c r="B10" s="117">
        <v>13</v>
      </c>
      <c r="C10" s="131">
        <f t="shared" si="0"/>
        <v>-0.31820350095805205</v>
      </c>
      <c r="D10" s="131">
        <f t="shared" si="1"/>
        <v>-8.9574285519691668E-2</v>
      </c>
      <c r="F10" s="23">
        <v>22</v>
      </c>
      <c r="G10" s="131">
        <f t="shared" si="2"/>
        <v>-0.64880899060327502</v>
      </c>
      <c r="H10" s="131">
        <f t="shared" si="3"/>
        <v>-0.11029752840255679</v>
      </c>
      <c r="J10" s="23">
        <v>33</v>
      </c>
      <c r="K10" s="131">
        <f t="shared" si="4"/>
        <v>-1.2419362476476059</v>
      </c>
      <c r="L10" s="131">
        <f t="shared" si="5"/>
        <v>-0.13909685973653188</v>
      </c>
      <c r="N10" s="23">
        <v>76</v>
      </c>
      <c r="O10" s="131">
        <f t="shared" si="6"/>
        <v>-3.9502237970415282</v>
      </c>
      <c r="P10" s="131">
        <f t="shared" si="7"/>
        <v>-0.19751118985207641</v>
      </c>
    </row>
    <row r="11" spans="1:16" s="5" customFormat="1" ht="12.75" customHeight="1">
      <c r="B11" s="117">
        <v>13.5</v>
      </c>
      <c r="C11" s="131">
        <f t="shared" si="0"/>
        <v>-0.29567090573625771</v>
      </c>
      <c r="D11" s="131">
        <f t="shared" si="1"/>
        <v>-8.3231359964756557E-2</v>
      </c>
      <c r="F11" s="23">
        <v>23</v>
      </c>
      <c r="G11" s="131">
        <f t="shared" si="2"/>
        <v>-0.60104416264905614</v>
      </c>
      <c r="H11" s="131">
        <f t="shared" si="3"/>
        <v>-0.10217750765033956</v>
      </c>
      <c r="J11" s="23">
        <v>34</v>
      </c>
      <c r="K11" s="131">
        <f t="shared" si="4"/>
        <v>-1.1739313685095225</v>
      </c>
      <c r="L11" s="131">
        <f t="shared" si="5"/>
        <v>-0.13148031327306653</v>
      </c>
      <c r="N11" s="23">
        <v>78</v>
      </c>
      <c r="O11" s="131">
        <f t="shared" si="6"/>
        <v>-3.7831614235616717</v>
      </c>
      <c r="P11" s="131">
        <f t="shared" si="7"/>
        <v>-0.18915807117808359</v>
      </c>
    </row>
    <row r="12" spans="1:16" s="5" customFormat="1" ht="13.5" customHeight="1">
      <c r="B12" s="117">
        <v>14</v>
      </c>
      <c r="C12" s="131">
        <f t="shared" si="0"/>
        <v>-0.2787096204979439</v>
      </c>
      <c r="D12" s="131">
        <f t="shared" si="1"/>
        <v>-7.8456758170171212E-2</v>
      </c>
      <c r="F12" s="23">
        <v>24</v>
      </c>
      <c r="G12" s="131">
        <f t="shared" si="2"/>
        <v>-0.56606929329024602</v>
      </c>
      <c r="H12" s="131">
        <f t="shared" si="3"/>
        <v>-9.6231779859341851E-2</v>
      </c>
      <c r="J12" s="23">
        <v>35</v>
      </c>
      <c r="K12" s="131">
        <f t="shared" si="4"/>
        <v>-1.1195591961167306</v>
      </c>
      <c r="L12" s="131">
        <f t="shared" si="5"/>
        <v>-0.12539062996507386</v>
      </c>
      <c r="N12" s="23">
        <v>80</v>
      </c>
      <c r="O12" s="131">
        <f t="shared" si="6"/>
        <v>-3.6441565360977703</v>
      </c>
      <c r="P12" s="131">
        <f t="shared" si="7"/>
        <v>-0.18220782680488853</v>
      </c>
    </row>
    <row r="13" spans="1:16" ht="12.75" customHeight="1">
      <c r="B13" s="117">
        <v>14.5</v>
      </c>
      <c r="C13" s="131">
        <f t="shared" si="0"/>
        <v>-0.26551366369498236</v>
      </c>
      <c r="D13" s="131">
        <f t="shared" si="1"/>
        <v>-7.4742096330137536E-2</v>
      </c>
      <c r="F13" s="23">
        <v>25</v>
      </c>
      <c r="G13" s="131">
        <f t="shared" si="2"/>
        <v>-0.53950685977156421</v>
      </c>
      <c r="H13" s="131">
        <f t="shared" si="3"/>
        <v>-9.1716166161165943E-2</v>
      </c>
      <c r="J13" s="23">
        <v>36</v>
      </c>
      <c r="K13" s="131">
        <f t="shared" si="4"/>
        <v>-1.0751640270070564</v>
      </c>
      <c r="L13" s="131">
        <f t="shared" si="5"/>
        <v>-0.12041837102479033</v>
      </c>
      <c r="N13" s="23">
        <v>84</v>
      </c>
      <c r="O13" s="131">
        <f t="shared" si="6"/>
        <v>-3.4269167015395876</v>
      </c>
      <c r="P13" s="131">
        <f t="shared" si="7"/>
        <v>-0.1713458350769794</v>
      </c>
    </row>
    <row r="14" spans="1:16" ht="12.75" customHeight="1">
      <c r="B14" s="117">
        <v>15</v>
      </c>
      <c r="C14" s="131">
        <f t="shared" si="0"/>
        <v>-0.25499889802201664</v>
      </c>
      <c r="D14" s="131">
        <f t="shared" si="1"/>
        <v>-7.1782189793197698E-2</v>
      </c>
      <c r="F14" s="23">
        <v>26</v>
      </c>
      <c r="G14" s="131">
        <f t="shared" si="2"/>
        <v>-0.51881204276802162</v>
      </c>
      <c r="H14" s="131">
        <f t="shared" si="3"/>
        <v>-8.8198047270563698E-2</v>
      </c>
      <c r="J14" s="23">
        <v>37</v>
      </c>
      <c r="K14" s="131">
        <f t="shared" si="4"/>
        <v>-1.0383227715697076</v>
      </c>
      <c r="L14" s="131">
        <f t="shared" si="5"/>
        <v>-0.11629215041580727</v>
      </c>
      <c r="N14" s="23">
        <v>88</v>
      </c>
      <c r="O14" s="131">
        <f t="shared" si="6"/>
        <v>-3.2663005746881435</v>
      </c>
      <c r="P14" s="131">
        <f t="shared" si="7"/>
        <v>-0.16331502873440717</v>
      </c>
    </row>
    <row r="15" spans="1:16" ht="13.5" customHeight="1">
      <c r="B15" s="117">
        <v>16</v>
      </c>
      <c r="C15" s="131">
        <f t="shared" si="0"/>
        <v>-0.23945822680200907</v>
      </c>
      <c r="D15" s="131">
        <f t="shared" si="1"/>
        <v>-6.7407490844765564E-2</v>
      </c>
      <c r="F15" s="23">
        <v>27</v>
      </c>
      <c r="G15" s="131">
        <f t="shared" si="2"/>
        <v>-0.50239174880442627</v>
      </c>
      <c r="H15" s="131">
        <f t="shared" si="3"/>
        <v>-8.5406597296752484E-2</v>
      </c>
      <c r="J15" s="23">
        <v>38</v>
      </c>
      <c r="K15" s="131">
        <f t="shared" si="4"/>
        <v>-1.0073575803564303</v>
      </c>
      <c r="L15" s="131">
        <f t="shared" si="5"/>
        <v>-0.11282404899992021</v>
      </c>
      <c r="N15" s="23">
        <v>92</v>
      </c>
      <c r="O15" s="131">
        <f t="shared" si="6"/>
        <v>-3.1442653244452266</v>
      </c>
      <c r="P15" s="131">
        <f t="shared" si="7"/>
        <v>-0.15721326622226134</v>
      </c>
    </row>
    <row r="16" spans="1:16" ht="12.75" customHeight="1">
      <c r="B16" s="117">
        <v>17</v>
      </c>
      <c r="C16" s="131">
        <f t="shared" si="0"/>
        <v>-0.22875878897846227</v>
      </c>
      <c r="D16" s="131">
        <f t="shared" si="1"/>
        <v>-6.439559909743714E-2</v>
      </c>
      <c r="F16" s="23">
        <v>28</v>
      </c>
      <c r="G16" s="131">
        <f t="shared" si="2"/>
        <v>-0.48919146665919333</v>
      </c>
      <c r="H16" s="131">
        <f t="shared" si="3"/>
        <v>-8.3162549332062879E-2</v>
      </c>
      <c r="J16" s="23">
        <v>40</v>
      </c>
      <c r="K16" s="131">
        <f t="shared" si="4"/>
        <v>-0.95855670642538948</v>
      </c>
      <c r="L16" s="131">
        <f t="shared" si="5"/>
        <v>-0.10735835111964363</v>
      </c>
      <c r="N16" s="23">
        <v>96</v>
      </c>
      <c r="O16" s="131">
        <f t="shared" si="6"/>
        <v>-3.0498192060631761</v>
      </c>
      <c r="P16" s="131">
        <f t="shared" si="7"/>
        <v>-0.15249096030315881</v>
      </c>
    </row>
    <row r="17" spans="2:17" ht="12.75" customHeight="1">
      <c r="B17" s="117">
        <v>18</v>
      </c>
      <c r="C17" s="131">
        <f t="shared" si="0"/>
        <v>-0.22118560965426867</v>
      </c>
      <c r="D17" s="131">
        <f t="shared" si="1"/>
        <v>-6.2263749117676639E-2</v>
      </c>
      <c r="F17" s="23">
        <v>29</v>
      </c>
      <c r="G17" s="131">
        <f t="shared" si="2"/>
        <v>-0.47848210534033869</v>
      </c>
      <c r="H17" s="131">
        <f t="shared" si="3"/>
        <v>-8.1341957907857601E-2</v>
      </c>
      <c r="J17" s="23">
        <v>42</v>
      </c>
      <c r="K17" s="131">
        <f t="shared" si="4"/>
        <v>-0.92235779910373183</v>
      </c>
      <c r="L17" s="131">
        <f t="shared" si="5"/>
        <v>-0.10330407349961798</v>
      </c>
      <c r="N17" s="23">
        <v>100</v>
      </c>
      <c r="O17" s="131">
        <f t="shared" si="6"/>
        <v>-2.9758384054947964</v>
      </c>
      <c r="P17" s="131">
        <f t="shared" si="7"/>
        <v>-0.14879192027473984</v>
      </c>
    </row>
    <row r="18" spans="2:17" ht="13.5" customHeight="1">
      <c r="B18" s="117">
        <v>19</v>
      </c>
      <c r="C18" s="131">
        <f t="shared" si="0"/>
        <v>-0.21575502162907306</v>
      </c>
      <c r="D18" s="131">
        <f t="shared" si="1"/>
        <v>-6.0735038588584075E-2</v>
      </c>
      <c r="F18" s="23">
        <v>30</v>
      </c>
      <c r="G18" s="131">
        <f t="shared" si="2"/>
        <v>-0.46974162960340343</v>
      </c>
      <c r="H18" s="131">
        <f t="shared" si="3"/>
        <v>-7.9856077032578604E-2</v>
      </c>
      <c r="J18" s="23">
        <v>44</v>
      </c>
      <c r="K18" s="131">
        <f t="shared" si="4"/>
        <v>-0.89498388665008966</v>
      </c>
      <c r="L18" s="131">
        <f t="shared" si="5"/>
        <v>-0.10023819530481005</v>
      </c>
      <c r="N18" s="23">
        <v>104</v>
      </c>
      <c r="O18" s="131">
        <f t="shared" si="6"/>
        <v>-2.9174805404006543</v>
      </c>
      <c r="P18" s="131">
        <f t="shared" si="7"/>
        <v>-0.14587402702003271</v>
      </c>
    </row>
    <row r="19" spans="2:17" ht="12.75" customHeight="1">
      <c r="B19" s="117">
        <v>20</v>
      </c>
      <c r="C19" s="131">
        <f t="shared" si="0"/>
        <v>-0.21185824930624275</v>
      </c>
      <c r="D19" s="131">
        <f t="shared" si="1"/>
        <v>-5.963809717970734E-2</v>
      </c>
      <c r="F19" s="23">
        <v>31</v>
      </c>
      <c r="G19" s="131">
        <f t="shared" si="2"/>
        <v>-0.46258538085978751</v>
      </c>
      <c r="H19" s="131">
        <f t="shared" si="3"/>
        <v>-7.8639514746163888E-2</v>
      </c>
      <c r="J19" s="23">
        <v>46</v>
      </c>
      <c r="K19" s="131">
        <f t="shared" si="4"/>
        <v>-0.87404650268484385</v>
      </c>
      <c r="L19" s="131">
        <f t="shared" si="5"/>
        <v>-9.7893208300702528E-2</v>
      </c>
      <c r="N19" s="23">
        <v>108</v>
      </c>
      <c r="O19" s="131">
        <f t="shared" si="6"/>
        <v>-2.8713271005748457</v>
      </c>
      <c r="P19" s="131">
        <f t="shared" si="7"/>
        <v>-0.14356635502874229</v>
      </c>
    </row>
    <row r="20" spans="2:17" ht="12.75" customHeight="1">
      <c r="B20" s="117">
        <v>20.5</v>
      </c>
      <c r="C20" s="131">
        <f t="shared" si="0"/>
        <v>-0.21035485036197141</v>
      </c>
      <c r="D20" s="131">
        <f t="shared" si="1"/>
        <v>-5.9214890376894959E-2</v>
      </c>
      <c r="F20" s="23">
        <v>32</v>
      </c>
      <c r="G20" s="131">
        <f t="shared" si="2"/>
        <v>-0.4567230569642356</v>
      </c>
      <c r="H20" s="131">
        <f t="shared" si="3"/>
        <v>-7.7642919683920064E-2</v>
      </c>
      <c r="J20" s="23">
        <v>48</v>
      </c>
      <c r="K20" s="131">
        <f t="shared" si="4"/>
        <v>-0.85795339566358197</v>
      </c>
      <c r="L20" s="131">
        <f t="shared" si="5"/>
        <v>-9.6090780314321195E-2</v>
      </c>
      <c r="N20" s="23">
        <v>112</v>
      </c>
      <c r="O20" s="131">
        <f t="shared" si="6"/>
        <v>-2.8348893994997084</v>
      </c>
      <c r="P20" s="131">
        <f t="shared" si="7"/>
        <v>-0.14174446997498544</v>
      </c>
    </row>
    <row r="21" spans="2:17" ht="13.5" customHeight="1">
      <c r="B21" s="138">
        <v>21</v>
      </c>
      <c r="C21" s="213">
        <f t="shared" si="0"/>
        <v>-0.20909653875043782</v>
      </c>
      <c r="D21" s="213">
        <f t="shared" si="1"/>
        <v>-5.8860675658248256E-2</v>
      </c>
      <c r="F21" s="23">
        <v>33</v>
      </c>
      <c r="G21" s="131">
        <f t="shared" si="2"/>
        <v>-0.45193107762764634</v>
      </c>
      <c r="H21" s="131">
        <f t="shared" si="3"/>
        <v>-7.682828319669989E-2</v>
      </c>
      <c r="J21" s="23">
        <v>50</v>
      </c>
      <c r="K21" s="131">
        <f t="shared" si="4"/>
        <v>-0.84559828302975415</v>
      </c>
      <c r="L21" s="131">
        <f t="shared" si="5"/>
        <v>-9.4707007699332477E-2</v>
      </c>
      <c r="N21" s="23">
        <v>114</v>
      </c>
      <c r="O21" s="131">
        <f t="shared" si="6"/>
        <v>-2.8197142537988853</v>
      </c>
      <c r="P21" s="131">
        <f t="shared" si="7"/>
        <v>-0.14098571268994428</v>
      </c>
    </row>
    <row r="22" spans="2:17" ht="13.5" customHeight="1" thickBot="1">
      <c r="B22" s="139">
        <v>22</v>
      </c>
      <c r="C22" s="214">
        <f t="shared" si="0"/>
        <v>-0.20719696498818616</v>
      </c>
      <c r="D22" s="214">
        <f t="shared" si="1"/>
        <v>-5.8325945644174405E-2</v>
      </c>
      <c r="F22" s="119">
        <v>34</v>
      </c>
      <c r="G22" s="132">
        <f t="shared" si="2"/>
        <v>-0.44803422823686734</v>
      </c>
      <c r="H22" s="132">
        <f t="shared" si="3"/>
        <v>-7.616581880026746E-2</v>
      </c>
      <c r="J22" s="215">
        <v>52</v>
      </c>
      <c r="K22" s="214">
        <f t="shared" si="4"/>
        <v>-0.83618651966255153</v>
      </c>
      <c r="L22" s="214">
        <f t="shared" si="5"/>
        <v>-9.3652890202205782E-2</v>
      </c>
      <c r="N22" s="23">
        <v>115</v>
      </c>
      <c r="O22" s="131">
        <f t="shared" si="6"/>
        <v>-2.8128011547112979</v>
      </c>
      <c r="P22" s="131">
        <f t="shared" si="7"/>
        <v>-0.1406400577355649</v>
      </c>
    </row>
    <row r="23" spans="2:17" ht="12.75" customHeight="1" thickBot="1">
      <c r="N23" s="119">
        <v>116</v>
      </c>
      <c r="O23" s="132">
        <f t="shared" si="6"/>
        <v>-2.8063089130021823</v>
      </c>
      <c r="P23" s="132">
        <f t="shared" si="7"/>
        <v>-0.14031544565010912</v>
      </c>
    </row>
    <row r="24" spans="2:17" ht="13.5" customHeight="1"/>
    <row r="25" spans="2:17">
      <c r="B25" s="28" t="s">
        <v>14</v>
      </c>
    </row>
    <row r="26" spans="2:17" ht="12.75" customHeight="1">
      <c r="B26" s="29" t="s">
        <v>101</v>
      </c>
    </row>
    <row r="27" spans="2:17" s="209" customFormat="1">
      <c r="B27" s="29" t="s">
        <v>103</v>
      </c>
      <c r="E27" s="210"/>
      <c r="H27" s="210"/>
      <c r="M27" s="211"/>
    </row>
    <row r="28" spans="2:17" s="209" customFormat="1">
      <c r="B28" s="30" t="s">
        <v>105</v>
      </c>
      <c r="E28" s="210"/>
      <c r="H28" s="210"/>
      <c r="M28" s="211"/>
      <c r="Q28" s="210"/>
    </row>
    <row r="29" spans="2:17" s="209" customFormat="1">
      <c r="B29" s="30" t="s">
        <v>104</v>
      </c>
      <c r="E29" s="210"/>
      <c r="H29" s="210"/>
      <c r="M29" s="211"/>
      <c r="Q29" s="210"/>
    </row>
    <row r="30" spans="2:17">
      <c r="B30" s="30" t="s">
        <v>134</v>
      </c>
      <c r="E30" s="2"/>
      <c r="H30" s="2"/>
      <c r="M30" s="49"/>
      <c r="Q30" s="2"/>
    </row>
    <row r="31" spans="2:17" ht="12.75" customHeight="1"/>
    <row r="32" spans="2:17">
      <c r="N32" s="107"/>
      <c r="O32" s="208"/>
      <c r="P32" s="107"/>
    </row>
  </sheetData>
  <sheetProtection insertRows="0" deleteRows="0"/>
  <mergeCells count="8">
    <mergeCell ref="B3:D3"/>
    <mergeCell ref="F3:H3"/>
    <mergeCell ref="J3:L3"/>
    <mergeCell ref="N3:P3"/>
    <mergeCell ref="C4:D4"/>
    <mergeCell ref="G4:H4"/>
    <mergeCell ref="K4:L4"/>
    <mergeCell ref="O4:P4"/>
  </mergeCells>
  <dataValidations disablePrompts="1" count="4">
    <dataValidation type="list" allowBlank="1" showInputMessage="1" showErrorMessage="1" sqref="C4" xr:uid="{00000000-0002-0000-0900-000000000000}">
      <formula1>"WR56.3, WR51"</formula1>
    </dataValidation>
    <dataValidation type="list" allowBlank="1" showInputMessage="1" showErrorMessage="1" sqref="G4" xr:uid="{00000000-0002-0000-0900-000001000000}">
      <formula1>"WR34, WR42"</formula1>
    </dataValidation>
    <dataValidation type="list" allowBlank="1" showInputMessage="1" showErrorMessage="1" sqref="K4" xr:uid="{00000000-0002-0000-0900-000002000000}">
      <formula1>"WR22"</formula1>
    </dataValidation>
    <dataValidation type="list" allowBlank="1" showInputMessage="1" showErrorMessage="1" sqref="O4" xr:uid="{00000000-0002-0000-0900-000003000000}">
      <formula1>"WR10"</formula1>
    </dataValidation>
  </dataValidations>
  <pageMargins left="0.75" right="0.75" top="1" bottom="1" header="0.5" footer="0.5"/>
  <pageSetup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B1:M37"/>
  <sheetViews>
    <sheetView zoomScale="90" zoomScaleNormal="90" workbookViewId="0">
      <selection activeCell="B2" sqref="B2"/>
    </sheetView>
  </sheetViews>
  <sheetFormatPr defaultRowHeight="13"/>
  <cols>
    <col min="1" max="1" width="2.7265625" customWidth="1"/>
    <col min="2" max="2" width="25.7265625" customWidth="1"/>
    <col min="3" max="3" width="8.7265625" customWidth="1"/>
    <col min="4" max="4" width="10.7265625" customWidth="1"/>
    <col min="5" max="9" width="8.7265625" customWidth="1"/>
  </cols>
  <sheetData>
    <row r="1" spans="2:13" s="26" customFormat="1" ht="15.5">
      <c r="B1" s="51" t="s">
        <v>153</v>
      </c>
      <c r="C1" s="39"/>
      <c r="D1" s="39"/>
      <c r="H1" s="38"/>
      <c r="I1" s="38"/>
      <c r="J1" s="38"/>
      <c r="K1" s="38"/>
      <c r="M1" s="25"/>
    </row>
    <row r="3" spans="2:13" ht="14">
      <c r="B3" s="50" t="s">
        <v>152</v>
      </c>
    </row>
    <row r="4" spans="2:13" ht="14">
      <c r="B4" s="52" t="s">
        <v>10</v>
      </c>
    </row>
    <row r="5" spans="2:13" ht="14">
      <c r="B5" s="52" t="s">
        <v>164</v>
      </c>
    </row>
    <row r="6" spans="2:13" ht="14">
      <c r="B6" s="52" t="s">
        <v>165</v>
      </c>
    </row>
    <row r="7" spans="2:13" ht="14">
      <c r="B7" s="52" t="s">
        <v>166</v>
      </c>
    </row>
    <row r="8" spans="2:13" ht="14">
      <c r="B8" s="52" t="s">
        <v>167</v>
      </c>
    </row>
    <row r="9" spans="2:13" ht="14">
      <c r="B9" s="52" t="s">
        <v>168</v>
      </c>
    </row>
    <row r="10" spans="2:13" ht="14">
      <c r="B10" s="52" t="s">
        <v>169</v>
      </c>
    </row>
    <row r="11" spans="2:13" ht="14">
      <c r="B11" s="52" t="s">
        <v>34</v>
      </c>
    </row>
    <row r="12" spans="2:13" ht="14">
      <c r="B12" s="52" t="s">
        <v>35</v>
      </c>
    </row>
    <row r="13" spans="2:13" ht="14">
      <c r="B13" s="52" t="s">
        <v>288</v>
      </c>
    </row>
    <row r="14" spans="2:13" ht="14">
      <c r="B14" s="52" t="s">
        <v>289</v>
      </c>
    </row>
    <row r="15" spans="2:13" ht="14">
      <c r="B15" s="52" t="s">
        <v>290</v>
      </c>
    </row>
    <row r="16" spans="2:13" ht="14">
      <c r="B16" s="52" t="s">
        <v>291</v>
      </c>
    </row>
    <row r="17" spans="2:2" ht="14">
      <c r="B17" s="52" t="s">
        <v>292</v>
      </c>
    </row>
    <row r="18" spans="2:2" ht="14">
      <c r="B18" s="52" t="s">
        <v>293</v>
      </c>
    </row>
    <row r="19" spans="2:2" ht="14">
      <c r="B19" s="52" t="s">
        <v>9</v>
      </c>
    </row>
    <row r="20" spans="2:2" ht="14">
      <c r="B20" s="52" t="s">
        <v>8</v>
      </c>
    </row>
    <row r="21" spans="2:2" ht="14">
      <c r="B21" s="52" t="s">
        <v>53</v>
      </c>
    </row>
    <row r="22" spans="2:2" ht="14">
      <c r="B22" s="52" t="s">
        <v>54</v>
      </c>
    </row>
    <row r="23" spans="2:2" ht="14">
      <c r="B23" s="52" t="s">
        <v>55</v>
      </c>
    </row>
    <row r="24" spans="2:2" ht="14">
      <c r="B24" s="52" t="s">
        <v>56</v>
      </c>
    </row>
    <row r="25" spans="2:2" ht="14">
      <c r="B25" s="52" t="s">
        <v>57</v>
      </c>
    </row>
    <row r="26" spans="2:2" ht="14">
      <c r="B26" s="52" t="s">
        <v>58</v>
      </c>
    </row>
    <row r="27" spans="2:2" ht="14">
      <c r="B27" s="52" t="s">
        <v>110</v>
      </c>
    </row>
    <row r="28" spans="2:2" ht="14">
      <c r="B28" s="52" t="s">
        <v>106</v>
      </c>
    </row>
    <row r="29" spans="2:2" ht="14">
      <c r="B29" s="52" t="s">
        <v>107</v>
      </c>
    </row>
    <row r="30" spans="2:2" ht="14">
      <c r="B30" s="52" t="s">
        <v>108</v>
      </c>
    </row>
    <row r="31" spans="2:2" ht="14">
      <c r="B31" s="52" t="s">
        <v>109</v>
      </c>
    </row>
    <row r="32" spans="2:2" ht="14">
      <c r="B32" s="52" t="s">
        <v>6</v>
      </c>
    </row>
    <row r="33" spans="2:2" ht="14">
      <c r="B33" s="52" t="s">
        <v>78</v>
      </c>
    </row>
    <row r="34" spans="2:2" ht="14">
      <c r="B34" s="52" t="s">
        <v>79</v>
      </c>
    </row>
    <row r="35" spans="2:2" ht="14">
      <c r="B35" s="52" t="s">
        <v>80</v>
      </c>
    </row>
    <row r="36" spans="2:2" ht="14">
      <c r="B36" s="52" t="s">
        <v>81</v>
      </c>
    </row>
    <row r="37" spans="2:2" ht="14">
      <c r="B37" s="52" t="s">
        <v>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P88"/>
  <sheetViews>
    <sheetView zoomScaleNormal="100" workbookViewId="0"/>
  </sheetViews>
  <sheetFormatPr defaultColWidth="9.1796875" defaultRowHeight="14.5"/>
  <cols>
    <col min="1" max="2" width="12.7265625" style="181" customWidth="1"/>
    <col min="3" max="3" width="10.7265625" style="181" bestFit="1" customWidth="1"/>
    <col min="4" max="16384" width="9.1796875" style="181"/>
  </cols>
  <sheetData>
    <row r="1" spans="1:16" ht="15.5">
      <c r="A1" s="225" t="s">
        <v>84</v>
      </c>
      <c r="B1" s="188"/>
      <c r="C1" s="188"/>
      <c r="D1" s="185"/>
      <c r="E1" s="185"/>
      <c r="F1" s="185"/>
      <c r="G1" s="185"/>
      <c r="H1" s="185"/>
      <c r="I1" s="185"/>
      <c r="J1" s="185"/>
      <c r="K1" s="185"/>
    </row>
    <row r="2" spans="1:16" s="26" customFormat="1">
      <c r="A2" s="136" t="s">
        <v>64</v>
      </c>
      <c r="B2" s="180">
        <v>44855</v>
      </c>
      <c r="D2" s="187"/>
      <c r="E2" s="39"/>
      <c r="F2" s="39"/>
      <c r="G2" s="39"/>
      <c r="H2" s="38"/>
      <c r="I2" s="38"/>
      <c r="J2" s="38"/>
      <c r="K2" s="38"/>
      <c r="M2" s="25"/>
      <c r="P2" s="181"/>
    </row>
    <row r="3" spans="1:16">
      <c r="A3" s="185"/>
      <c r="B3" s="185"/>
      <c r="C3" s="185"/>
      <c r="D3" s="185"/>
      <c r="E3" s="185"/>
      <c r="F3" s="185"/>
      <c r="G3" s="185"/>
      <c r="H3" s="185"/>
      <c r="I3" s="185"/>
      <c r="J3" s="185"/>
      <c r="K3" s="185"/>
      <c r="M3" s="354" t="s">
        <v>217</v>
      </c>
    </row>
    <row r="4" spans="1:16">
      <c r="A4" s="183" t="s">
        <v>85</v>
      </c>
      <c r="B4" s="185"/>
      <c r="C4" s="185"/>
      <c r="D4" s="185"/>
      <c r="E4" s="185"/>
      <c r="F4" s="185"/>
      <c r="G4" s="185"/>
      <c r="H4" s="185"/>
      <c r="I4" s="185"/>
      <c r="J4" s="185"/>
      <c r="K4" s="185"/>
    </row>
    <row r="5" spans="1:16" s="182" customFormat="1">
      <c r="A5" s="184" t="s">
        <v>218</v>
      </c>
      <c r="P5" s="181"/>
    </row>
    <row r="6" spans="1:16">
      <c r="A6" s="184" t="s">
        <v>219</v>
      </c>
      <c r="B6" s="185"/>
      <c r="C6" s="185"/>
      <c r="D6" s="185"/>
      <c r="E6" s="185"/>
      <c r="F6" s="185"/>
      <c r="G6" s="185"/>
      <c r="H6" s="185"/>
      <c r="I6" s="185"/>
      <c r="J6" s="185"/>
      <c r="K6" s="185"/>
    </row>
    <row r="7" spans="1:16">
      <c r="A7" s="186" t="s">
        <v>86</v>
      </c>
      <c r="B7" s="185"/>
      <c r="C7" s="185"/>
      <c r="D7" s="185"/>
      <c r="E7" s="185"/>
      <c r="F7" s="185"/>
      <c r="G7" s="185"/>
      <c r="H7" s="185"/>
      <c r="I7" s="185"/>
      <c r="J7" s="185"/>
      <c r="K7" s="185"/>
    </row>
    <row r="8" spans="1:16">
      <c r="A8" s="186" t="s">
        <v>87</v>
      </c>
      <c r="B8" s="185"/>
      <c r="C8" s="185"/>
      <c r="D8" s="185"/>
      <c r="E8" s="185"/>
      <c r="F8" s="185"/>
      <c r="G8" s="185"/>
      <c r="H8" s="185"/>
      <c r="I8" s="185"/>
      <c r="J8" s="185"/>
      <c r="K8" s="185"/>
    </row>
    <row r="9" spans="1:16">
      <c r="A9" s="184" t="s">
        <v>125</v>
      </c>
      <c r="B9" s="185"/>
      <c r="C9" s="185"/>
      <c r="D9" s="185"/>
      <c r="E9" s="185"/>
      <c r="F9" s="185"/>
      <c r="G9" s="185"/>
      <c r="H9" s="185"/>
      <c r="I9" s="185"/>
      <c r="J9" s="185"/>
      <c r="K9" s="185"/>
    </row>
    <row r="10" spans="1:16" s="182" customFormat="1">
      <c r="A10" s="184" t="s">
        <v>157</v>
      </c>
      <c r="P10" s="181"/>
    </row>
    <row r="11" spans="1:16">
      <c r="A11" s="184" t="s">
        <v>216</v>
      </c>
      <c r="B11" s="185"/>
      <c r="C11" s="185"/>
      <c r="D11" s="185"/>
      <c r="E11" s="185"/>
      <c r="F11" s="185"/>
      <c r="G11" s="185"/>
      <c r="H11" s="185"/>
      <c r="I11" s="185"/>
      <c r="J11" s="185"/>
      <c r="K11" s="185"/>
    </row>
    <row r="12" spans="1:16">
      <c r="A12" s="184"/>
      <c r="B12" s="185"/>
      <c r="C12" s="185"/>
      <c r="D12" s="185"/>
      <c r="E12" s="185"/>
      <c r="F12" s="185"/>
      <c r="G12" s="185"/>
      <c r="H12" s="185"/>
      <c r="I12" s="185"/>
      <c r="J12" s="185"/>
      <c r="K12" s="185"/>
    </row>
    <row r="13" spans="1:16">
      <c r="A13" s="183" t="s">
        <v>90</v>
      </c>
      <c r="B13" s="185"/>
      <c r="C13" s="185"/>
      <c r="D13" s="185"/>
      <c r="E13" s="185"/>
      <c r="F13" s="185"/>
      <c r="G13" s="185"/>
      <c r="H13" s="185"/>
      <c r="I13" s="185"/>
      <c r="J13" s="185"/>
      <c r="K13" s="185"/>
    </row>
    <row r="14" spans="1:16">
      <c r="A14" s="184" t="s">
        <v>91</v>
      </c>
      <c r="B14" s="185"/>
      <c r="C14" s="185"/>
      <c r="D14" s="185"/>
      <c r="E14" s="185"/>
      <c r="F14" s="185"/>
      <c r="G14" s="185"/>
      <c r="H14" s="185"/>
      <c r="I14" s="185"/>
      <c r="J14" s="185"/>
      <c r="K14" s="185"/>
    </row>
    <row r="15" spans="1:16">
      <c r="A15" s="184" t="s">
        <v>88</v>
      </c>
      <c r="B15" s="185"/>
      <c r="C15" s="185"/>
      <c r="D15" s="185"/>
      <c r="E15" s="185"/>
      <c r="F15" s="185"/>
      <c r="G15" s="185"/>
      <c r="H15" s="185"/>
      <c r="I15" s="185"/>
      <c r="J15" s="185"/>
      <c r="K15" s="185"/>
    </row>
    <row r="16" spans="1:16">
      <c r="A16" s="184" t="s">
        <v>89</v>
      </c>
      <c r="B16" s="185"/>
      <c r="C16" s="185"/>
      <c r="D16" s="185"/>
      <c r="E16" s="185"/>
      <c r="F16" s="185"/>
      <c r="G16" s="185"/>
      <c r="H16" s="185"/>
      <c r="I16" s="185"/>
      <c r="J16" s="185"/>
      <c r="K16" s="185"/>
    </row>
    <row r="17" spans="1:11">
      <c r="A17" s="184" t="s">
        <v>92</v>
      </c>
      <c r="B17" s="185"/>
      <c r="C17" s="185"/>
      <c r="D17" s="185"/>
      <c r="E17" s="185"/>
      <c r="F17" s="185"/>
      <c r="G17" s="185"/>
      <c r="H17" s="185"/>
      <c r="I17" s="185"/>
      <c r="J17" s="185"/>
      <c r="K17" s="185"/>
    </row>
    <row r="18" spans="1:11">
      <c r="A18" s="184" t="s">
        <v>93</v>
      </c>
      <c r="B18" s="185"/>
      <c r="C18" s="185"/>
      <c r="D18" s="185"/>
      <c r="E18" s="185"/>
      <c r="F18" s="185"/>
      <c r="G18" s="185"/>
      <c r="H18" s="185"/>
      <c r="I18" s="185"/>
      <c r="J18" s="185"/>
      <c r="K18" s="185"/>
    </row>
    <row r="19" spans="1:11" ht="15" customHeight="1">
      <c r="A19" s="189" t="s">
        <v>95</v>
      </c>
      <c r="B19" s="185"/>
      <c r="C19" s="185"/>
      <c r="D19" s="185"/>
      <c r="E19" s="185"/>
      <c r="F19" s="185"/>
      <c r="G19" s="185"/>
      <c r="H19" s="185"/>
      <c r="I19" s="185"/>
      <c r="J19" s="185"/>
      <c r="K19" s="185"/>
    </row>
    <row r="20" spans="1:11">
      <c r="A20" s="223" t="s">
        <v>173</v>
      </c>
      <c r="B20" s="185"/>
      <c r="C20" s="185"/>
      <c r="D20" s="185"/>
      <c r="E20" s="185"/>
      <c r="F20" s="185"/>
      <c r="G20" s="185"/>
      <c r="H20" s="185"/>
      <c r="I20" s="185"/>
      <c r="J20" s="185"/>
      <c r="K20" s="185"/>
    </row>
    <row r="21" spans="1:11">
      <c r="A21" s="223" t="s">
        <v>174</v>
      </c>
      <c r="B21" s="185"/>
      <c r="C21" s="185"/>
      <c r="D21" s="185"/>
      <c r="E21" s="185"/>
      <c r="F21" s="185"/>
      <c r="G21" s="185"/>
      <c r="H21" s="185"/>
      <c r="I21" s="185"/>
      <c r="J21" s="185"/>
      <c r="K21" s="185"/>
    </row>
    <row r="22" spans="1:11">
      <c r="A22" s="184" t="s">
        <v>94</v>
      </c>
      <c r="B22" s="185"/>
      <c r="C22" s="185"/>
      <c r="D22" s="185"/>
      <c r="E22" s="185"/>
      <c r="F22" s="185"/>
      <c r="G22" s="185"/>
      <c r="H22" s="185"/>
      <c r="I22" s="185"/>
      <c r="J22" s="185"/>
      <c r="K22" s="185"/>
    </row>
    <row r="23" spans="1:11">
      <c r="A23" s="184" t="s">
        <v>111</v>
      </c>
      <c r="B23" s="185"/>
      <c r="C23" s="185"/>
      <c r="D23" s="185"/>
      <c r="E23" s="185"/>
      <c r="F23" s="185"/>
      <c r="G23" s="185"/>
      <c r="H23" s="185"/>
      <c r="I23" s="185"/>
      <c r="J23" s="185"/>
      <c r="K23" s="185"/>
    </row>
    <row r="24" spans="1:11">
      <c r="A24" s="223" t="s">
        <v>171</v>
      </c>
      <c r="B24" s="185"/>
      <c r="C24" s="185"/>
      <c r="D24" s="185"/>
      <c r="E24" s="185"/>
      <c r="F24" s="185"/>
      <c r="G24" s="185"/>
      <c r="H24" s="185"/>
      <c r="I24" s="185"/>
      <c r="J24" s="185"/>
      <c r="K24" s="185"/>
    </row>
    <row r="25" spans="1:11">
      <c r="A25" s="223" t="s">
        <v>172</v>
      </c>
      <c r="B25" s="185"/>
      <c r="C25" s="185"/>
      <c r="D25" s="185"/>
      <c r="E25" s="185"/>
      <c r="F25" s="185"/>
      <c r="G25" s="185"/>
      <c r="H25" s="185"/>
      <c r="I25" s="185"/>
      <c r="J25" s="185"/>
      <c r="K25" s="185"/>
    </row>
    <row r="26" spans="1:11">
      <c r="A26" s="184" t="s">
        <v>113</v>
      </c>
      <c r="B26" s="185"/>
      <c r="C26" s="185"/>
      <c r="D26" s="185"/>
      <c r="E26" s="185"/>
      <c r="F26" s="185"/>
      <c r="G26" s="185"/>
      <c r="H26" s="185"/>
      <c r="I26" s="185"/>
      <c r="J26" s="185"/>
      <c r="K26" s="185"/>
    </row>
    <row r="27" spans="1:11">
      <c r="A27" s="276" t="s">
        <v>170</v>
      </c>
      <c r="B27" s="185"/>
      <c r="C27" s="185"/>
      <c r="D27" s="185"/>
      <c r="E27" s="185"/>
      <c r="F27" s="185"/>
      <c r="G27" s="185"/>
      <c r="H27" s="185"/>
      <c r="I27" s="185"/>
      <c r="J27" s="185"/>
      <c r="K27" s="185"/>
    </row>
    <row r="28" spans="1:11">
      <c r="A28" s="223" t="s">
        <v>118</v>
      </c>
    </row>
    <row r="29" spans="1:11">
      <c r="A29" s="223" t="s">
        <v>119</v>
      </c>
    </row>
    <row r="30" spans="1:11">
      <c r="A30" s="223" t="s">
        <v>126</v>
      </c>
    </row>
    <row r="31" spans="1:11" s="273" customFormat="1">
      <c r="A31" s="276" t="s">
        <v>351</v>
      </c>
      <c r="B31" s="274"/>
    </row>
    <row r="32" spans="1:11" s="273" customFormat="1">
      <c r="A32" s="223" t="s">
        <v>140</v>
      </c>
      <c r="B32" s="274"/>
    </row>
    <row r="33" spans="1:2" s="273" customFormat="1">
      <c r="A33" s="223" t="s">
        <v>129</v>
      </c>
      <c r="B33" s="274"/>
    </row>
    <row r="34" spans="1:2" s="273" customFormat="1">
      <c r="A34" s="223" t="s">
        <v>141</v>
      </c>
      <c r="B34" s="274"/>
    </row>
    <row r="35" spans="1:2" s="273" customFormat="1">
      <c r="A35" s="223" t="s">
        <v>142</v>
      </c>
      <c r="B35" s="274"/>
    </row>
    <row r="36" spans="1:2" s="273" customFormat="1">
      <c r="A36" s="223" t="s">
        <v>135</v>
      </c>
      <c r="B36" s="274"/>
    </row>
    <row r="37" spans="1:2" s="273" customFormat="1">
      <c r="A37" s="223" t="s">
        <v>136</v>
      </c>
      <c r="B37" s="274"/>
    </row>
    <row r="38" spans="1:2" s="273" customFormat="1">
      <c r="A38" s="223" t="s">
        <v>143</v>
      </c>
      <c r="B38" s="274"/>
    </row>
    <row r="39" spans="1:2" s="273" customFormat="1">
      <c r="A39" s="223" t="s">
        <v>144</v>
      </c>
      <c r="B39" s="274"/>
    </row>
    <row r="40" spans="1:2" s="273" customFormat="1">
      <c r="A40" s="223" t="s">
        <v>149</v>
      </c>
      <c r="B40" s="274"/>
    </row>
    <row r="41" spans="1:2">
      <c r="A41" s="223" t="s">
        <v>160</v>
      </c>
      <c r="B41" s="274"/>
    </row>
    <row r="42" spans="1:2">
      <c r="A42" s="275" t="s">
        <v>156</v>
      </c>
      <c r="B42" s="274"/>
    </row>
    <row r="43" spans="1:2">
      <c r="A43" s="275" t="s">
        <v>159</v>
      </c>
      <c r="B43" s="274"/>
    </row>
    <row r="44" spans="1:2">
      <c r="A44" s="276" t="s">
        <v>352</v>
      </c>
    </row>
    <row r="45" spans="1:2">
      <c r="A45" s="275" t="s">
        <v>175</v>
      </c>
    </row>
    <row r="46" spans="1:2">
      <c r="A46" s="275" t="s">
        <v>176</v>
      </c>
    </row>
    <row r="47" spans="1:2">
      <c r="A47" s="275" t="s">
        <v>177</v>
      </c>
    </row>
    <row r="48" spans="1:2">
      <c r="A48" s="275" t="s">
        <v>178</v>
      </c>
    </row>
    <row r="49" spans="1:1">
      <c r="A49" s="223" t="s">
        <v>179</v>
      </c>
    </row>
    <row r="50" spans="1:1">
      <c r="A50" s="223" t="s">
        <v>183</v>
      </c>
    </row>
    <row r="51" spans="1:1">
      <c r="A51" s="223" t="s">
        <v>187</v>
      </c>
    </row>
    <row r="52" spans="1:1">
      <c r="A52" s="275" t="s">
        <v>186</v>
      </c>
    </row>
    <row r="53" spans="1:1">
      <c r="A53" s="275" t="s">
        <v>188</v>
      </c>
    </row>
    <row r="54" spans="1:1">
      <c r="A54" s="275" t="s">
        <v>197</v>
      </c>
    </row>
    <row r="55" spans="1:1">
      <c r="A55" s="223" t="s">
        <v>198</v>
      </c>
    </row>
    <row r="56" spans="1:1">
      <c r="A56" s="223" t="s">
        <v>202</v>
      </c>
    </row>
    <row r="57" spans="1:1">
      <c r="A57" s="223" t="s">
        <v>203</v>
      </c>
    </row>
    <row r="58" spans="1:1">
      <c r="A58" s="223" t="s">
        <v>208</v>
      </c>
    </row>
    <row r="59" spans="1:1">
      <c r="A59" s="223" t="s">
        <v>207</v>
      </c>
    </row>
    <row r="60" spans="1:1">
      <c r="A60" s="223" t="s">
        <v>212</v>
      </c>
    </row>
    <row r="61" spans="1:1">
      <c r="A61" s="223" t="s">
        <v>214</v>
      </c>
    </row>
    <row r="62" spans="1:1">
      <c r="A62" s="223" t="s">
        <v>215</v>
      </c>
    </row>
    <row r="63" spans="1:1" s="182" customFormat="1">
      <c r="A63" s="276" t="s">
        <v>353</v>
      </c>
    </row>
    <row r="64" spans="1:1" s="182" customFormat="1">
      <c r="A64" s="223" t="s">
        <v>224</v>
      </c>
    </row>
    <row r="65" spans="1:2" s="182" customFormat="1">
      <c r="A65" s="223" t="s">
        <v>225</v>
      </c>
    </row>
    <row r="66" spans="1:2" s="182" customFormat="1">
      <c r="A66" s="223" t="s">
        <v>220</v>
      </c>
    </row>
    <row r="67" spans="1:2">
      <c r="A67" s="355" t="s">
        <v>354</v>
      </c>
    </row>
    <row r="68" spans="1:2">
      <c r="A68" s="378" t="s">
        <v>226</v>
      </c>
    </row>
    <row r="69" spans="1:2">
      <c r="A69" s="378" t="s">
        <v>227</v>
      </c>
    </row>
    <row r="70" spans="1:2">
      <c r="A70" s="378" t="s">
        <v>234</v>
      </c>
    </row>
    <row r="71" spans="1:2">
      <c r="A71" s="378" t="s">
        <v>238</v>
      </c>
    </row>
    <row r="72" spans="1:2">
      <c r="A72" s="378" t="s">
        <v>241</v>
      </c>
    </row>
    <row r="73" spans="1:2">
      <c r="A73" s="378" t="s">
        <v>245</v>
      </c>
    </row>
    <row r="74" spans="1:2">
      <c r="A74" s="378" t="s">
        <v>262</v>
      </c>
    </row>
    <row r="75" spans="1:2">
      <c r="A75" s="378" t="s">
        <v>272</v>
      </c>
    </row>
    <row r="76" spans="1:2">
      <c r="A76" s="378" t="s">
        <v>274</v>
      </c>
    </row>
    <row r="77" spans="1:2">
      <c r="A77" s="378" t="s">
        <v>306</v>
      </c>
    </row>
    <row r="78" spans="1:2">
      <c r="A78" s="551" t="s">
        <v>325</v>
      </c>
      <c r="B78" s="273"/>
    </row>
    <row r="79" spans="1:2">
      <c r="A79" s="551" t="s">
        <v>324</v>
      </c>
      <c r="B79" s="273"/>
    </row>
    <row r="80" spans="1:2">
      <c r="A80" s="378" t="s">
        <v>295</v>
      </c>
    </row>
    <row r="81" spans="1:1">
      <c r="A81" s="378" t="s">
        <v>296</v>
      </c>
    </row>
    <row r="82" spans="1:1">
      <c r="A82" s="378" t="s">
        <v>305</v>
      </c>
    </row>
    <row r="83" spans="1:1">
      <c r="A83" s="378" t="s">
        <v>314</v>
      </c>
    </row>
    <row r="84" spans="1:1">
      <c r="A84" s="378" t="s">
        <v>310</v>
      </c>
    </row>
    <row r="85" spans="1:1">
      <c r="A85" s="378" t="s">
        <v>315</v>
      </c>
    </row>
    <row r="86" spans="1:1">
      <c r="A86" s="378" t="s">
        <v>308</v>
      </c>
    </row>
    <row r="87" spans="1:1">
      <c r="A87" s="552" t="s">
        <v>311</v>
      </c>
    </row>
    <row r="88" spans="1:1">
      <c r="A88" s="577" t="s">
        <v>326</v>
      </c>
    </row>
  </sheetData>
  <pageMargins left="0.7" right="0.7" top="0.75" bottom="0.75" header="0.3" footer="0.3"/>
  <pageSetup scale="1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1"/>
  </sheetPr>
  <dimension ref="B1:AW135"/>
  <sheetViews>
    <sheetView zoomScale="90" zoomScaleNormal="90" workbookViewId="0">
      <pane ySplit="10" topLeftCell="A11" activePane="bottomLeft" state="frozen"/>
      <selection pane="bottomLeft" activeCell="D7" sqref="D7"/>
    </sheetView>
  </sheetViews>
  <sheetFormatPr defaultRowHeight="13"/>
  <cols>
    <col min="1" max="1" width="2.7265625" customWidth="1"/>
    <col min="2" max="3" width="7.7265625" hidden="1" customWidth="1"/>
    <col min="4" max="12" width="7.7265625" customWidth="1"/>
    <col min="13" max="13" width="2.7265625" customWidth="1"/>
    <col min="14" max="15" width="7.7265625" hidden="1" customWidth="1"/>
    <col min="16" max="24" width="7.7265625" customWidth="1"/>
    <col min="25" max="25" width="2.7265625" customWidth="1"/>
    <col min="26" max="26" width="7.7265625" customWidth="1"/>
    <col min="27" max="27" width="8.7265625" style="254" customWidth="1"/>
    <col min="28" max="37" width="7.7265625" style="254" customWidth="1"/>
    <col min="38" max="38" width="9.1796875" style="254"/>
  </cols>
  <sheetData>
    <row r="1" spans="2:49" ht="6.75" customHeight="1"/>
    <row r="2" spans="2:49" s="46" customFormat="1" ht="17.149999999999999" customHeight="1">
      <c r="D2" s="264" t="s">
        <v>117</v>
      </c>
      <c r="E2" s="153"/>
      <c r="F2" s="153"/>
      <c r="G2" s="153"/>
      <c r="H2" s="153"/>
      <c r="I2" s="153"/>
      <c r="J2" s="153"/>
      <c r="K2" s="592">
        <f>Rev_date</f>
        <v>44855</v>
      </c>
      <c r="L2" s="592"/>
      <c r="M2" s="134"/>
      <c r="O2" s="154"/>
      <c r="P2" s="154"/>
      <c r="Q2" s="154"/>
      <c r="S2" s="255" t="s">
        <v>146</v>
      </c>
      <c r="T2" s="265">
        <v>160</v>
      </c>
      <c r="U2" s="266">
        <v>20</v>
      </c>
      <c r="V2" s="259" t="s">
        <v>148</v>
      </c>
      <c r="AA2" s="313"/>
      <c r="AB2" s="313"/>
      <c r="AC2" s="313"/>
      <c r="AD2" s="313"/>
      <c r="AE2" s="313"/>
      <c r="AF2" s="313"/>
      <c r="AG2" s="313"/>
      <c r="AH2" s="313"/>
      <c r="AI2" s="313"/>
      <c r="AJ2" s="313"/>
      <c r="AK2" s="313"/>
      <c r="AL2" s="313"/>
      <c r="AM2" s="134"/>
      <c r="AN2" s="134"/>
      <c r="AO2" s="134"/>
      <c r="AP2" s="134"/>
      <c r="AQ2" s="134"/>
      <c r="AR2" s="134"/>
      <c r="AS2" s="134"/>
      <c r="AT2" s="134"/>
      <c r="AU2" s="134"/>
      <c r="AV2" s="134"/>
      <c r="AW2" s="134"/>
    </row>
    <row r="3" spans="2:49" s="46" customFormat="1" ht="17.149999999999999" customHeight="1">
      <c r="D3" s="258" t="s">
        <v>150</v>
      </c>
      <c r="E3" s="162"/>
      <c r="F3" s="162"/>
      <c r="G3" s="162"/>
      <c r="H3" s="162"/>
      <c r="I3" s="162"/>
      <c r="J3" s="162"/>
      <c r="K3" s="162"/>
      <c r="L3" s="162"/>
      <c r="M3" s="134"/>
      <c r="O3" s="154"/>
      <c r="P3" s="154"/>
      <c r="Q3" s="154"/>
      <c r="S3" s="256" t="s">
        <v>145</v>
      </c>
      <c r="T3" s="267">
        <v>45</v>
      </c>
      <c r="U3" s="271">
        <f>(Temp_20K_Stage+Temp_80K_Stage)/2</f>
        <v>50</v>
      </c>
      <c r="V3" s="262" t="s">
        <v>151</v>
      </c>
      <c r="AA3" s="313"/>
      <c r="AB3" s="313"/>
      <c r="AC3" s="313"/>
      <c r="AD3" s="313"/>
      <c r="AE3" s="313"/>
      <c r="AF3" s="313"/>
      <c r="AG3" s="313"/>
      <c r="AH3" s="313"/>
      <c r="AI3" s="313"/>
      <c r="AJ3" s="313"/>
      <c r="AK3" s="313"/>
      <c r="AL3" s="313"/>
      <c r="AN3" s="134"/>
      <c r="AO3" s="134"/>
      <c r="AP3" s="134"/>
      <c r="AQ3" s="134"/>
      <c r="AR3" s="134"/>
      <c r="AS3" s="134"/>
      <c r="AT3" s="134"/>
      <c r="AU3" s="134"/>
      <c r="AV3" s="134"/>
      <c r="AW3" s="134"/>
    </row>
    <row r="4" spans="2:49" s="46" customFormat="1" ht="17.149999999999999" customHeight="1">
      <c r="D4" s="163" t="s">
        <v>201</v>
      </c>
      <c r="E4" s="162"/>
      <c r="F4" s="162"/>
      <c r="G4" s="162"/>
      <c r="H4" s="162"/>
      <c r="I4" s="162"/>
      <c r="J4" s="162"/>
      <c r="K4" s="162"/>
      <c r="L4" s="162"/>
      <c r="M4" s="134"/>
      <c r="O4" s="154"/>
      <c r="P4" s="154"/>
      <c r="Q4" s="154"/>
      <c r="S4" s="257" t="s">
        <v>236</v>
      </c>
      <c r="T4" s="269">
        <v>6</v>
      </c>
      <c r="U4" s="268">
        <v>80</v>
      </c>
      <c r="V4" s="260" t="s">
        <v>147</v>
      </c>
      <c r="AA4" s="313"/>
      <c r="AB4" s="313"/>
      <c r="AC4" s="313"/>
      <c r="AD4" s="313"/>
      <c r="AE4" s="313"/>
      <c r="AF4" s="313"/>
      <c r="AG4" s="313"/>
      <c r="AH4" s="313"/>
      <c r="AI4" s="313"/>
      <c r="AJ4" s="313"/>
      <c r="AK4" s="313"/>
      <c r="AL4" s="313"/>
      <c r="AM4" s="134"/>
      <c r="AN4" s="134"/>
      <c r="AO4" s="134"/>
      <c r="AP4" s="134"/>
      <c r="AQ4" s="134"/>
      <c r="AR4" s="134"/>
      <c r="AS4" s="134"/>
      <c r="AT4" s="134"/>
      <c r="AU4" s="134"/>
      <c r="AV4" s="134"/>
      <c r="AW4" s="134"/>
    </row>
    <row r="5" spans="2:49" s="46" customFormat="1" ht="17.149999999999999" customHeight="1">
      <c r="D5" s="163" t="s">
        <v>200</v>
      </c>
      <c r="E5" s="162"/>
      <c r="F5" s="162"/>
      <c r="G5" s="162"/>
      <c r="H5" s="162"/>
      <c r="I5" s="162"/>
      <c r="J5" s="162"/>
      <c r="K5" s="162"/>
      <c r="L5" s="162"/>
      <c r="M5" s="134"/>
      <c r="O5" s="154"/>
      <c r="P5" s="154"/>
      <c r="Q5" s="154"/>
      <c r="S5" s="336" t="s">
        <v>237</v>
      </c>
      <c r="T5" s="410">
        <v>1</v>
      </c>
      <c r="U5" s="306">
        <f>(Temp_80K_Stage+Temp_Ambient)/2</f>
        <v>190</v>
      </c>
      <c r="V5" s="263" t="s">
        <v>154</v>
      </c>
      <c r="Z5" s="175"/>
      <c r="AA5" s="314"/>
      <c r="AB5" s="314"/>
      <c r="AC5" s="313"/>
      <c r="AD5" s="313"/>
      <c r="AE5" s="313"/>
      <c r="AF5" s="313"/>
      <c r="AG5" s="313"/>
      <c r="AH5" s="313"/>
      <c r="AI5" s="313"/>
      <c r="AJ5" s="313"/>
      <c r="AK5" s="313"/>
      <c r="AL5" s="313"/>
      <c r="AM5" s="134"/>
      <c r="AN5" s="134"/>
      <c r="AO5" s="134"/>
      <c r="AP5" s="134"/>
      <c r="AQ5" s="134"/>
      <c r="AR5" s="134"/>
      <c r="AS5" s="134"/>
      <c r="AT5" s="134"/>
      <c r="AU5" s="134"/>
      <c r="AV5" s="134"/>
      <c r="AW5" s="134"/>
    </row>
    <row r="6" spans="2:49" s="46" customFormat="1" ht="17.149999999999999" customHeight="1">
      <c r="D6" s="272" t="s">
        <v>206</v>
      </c>
      <c r="E6" s="162"/>
      <c r="F6" s="162"/>
      <c r="G6" s="162"/>
      <c r="H6" s="162"/>
      <c r="I6" s="162"/>
      <c r="J6" s="162"/>
      <c r="K6" s="162"/>
      <c r="L6" s="162"/>
      <c r="M6" s="134"/>
      <c r="O6" s="154"/>
      <c r="P6" s="154"/>
      <c r="Q6" s="154"/>
      <c r="S6" s="411" t="s">
        <v>205</v>
      </c>
      <c r="T6" s="412" t="s">
        <v>204</v>
      </c>
      <c r="U6" s="270">
        <v>300</v>
      </c>
      <c r="V6" s="261" t="s">
        <v>155</v>
      </c>
      <c r="Z6" s="175"/>
      <c r="AA6" s="314"/>
      <c r="AB6" s="314"/>
      <c r="AC6" s="313"/>
      <c r="AD6" s="313"/>
      <c r="AE6" s="313"/>
      <c r="AF6" s="313"/>
      <c r="AG6" s="313"/>
      <c r="AH6" s="313"/>
      <c r="AI6" s="313"/>
      <c r="AJ6" s="313"/>
      <c r="AK6" s="313"/>
      <c r="AL6" s="313"/>
      <c r="AM6" s="134"/>
      <c r="AN6" s="134"/>
      <c r="AO6" s="134"/>
      <c r="AP6" s="134"/>
      <c r="AQ6" s="134"/>
      <c r="AR6" s="134"/>
      <c r="AS6" s="134"/>
      <c r="AT6" s="134"/>
      <c r="AU6" s="134"/>
      <c r="AV6" s="134"/>
      <c r="AW6" s="134"/>
    </row>
    <row r="7" spans="2:49" s="46" customFormat="1" ht="17.149999999999999" customHeight="1">
      <c r="D7" s="272"/>
      <c r="E7" s="162"/>
      <c r="F7" s="162"/>
      <c r="G7" s="162"/>
      <c r="H7" s="162"/>
      <c r="I7" s="162"/>
      <c r="J7" s="162"/>
      <c r="K7" s="162"/>
      <c r="L7" s="162"/>
      <c r="M7" s="134"/>
      <c r="O7" s="154"/>
      <c r="P7" s="154"/>
      <c r="Q7" s="154"/>
      <c r="S7" s="342" t="s">
        <v>210</v>
      </c>
      <c r="T7" s="343" t="s">
        <v>235</v>
      </c>
      <c r="U7" s="343" t="s">
        <v>239</v>
      </c>
      <c r="V7" s="417" t="s">
        <v>240</v>
      </c>
      <c r="Z7" s="175"/>
      <c r="AA7" s="419" t="s">
        <v>243</v>
      </c>
      <c r="AB7" s="343" t="s">
        <v>313</v>
      </c>
      <c r="AC7" s="420" t="s">
        <v>244</v>
      </c>
      <c r="AD7" s="420"/>
      <c r="AE7" s="313"/>
      <c r="AF7" s="313"/>
      <c r="AG7" s="420"/>
      <c r="AH7" s="313"/>
      <c r="AI7" s="313"/>
      <c r="AJ7" s="313"/>
      <c r="AK7" s="313"/>
      <c r="AL7" s="313"/>
      <c r="AM7" s="134"/>
      <c r="AN7" s="134"/>
      <c r="AO7" s="134"/>
      <c r="AP7" s="134"/>
      <c r="AQ7" s="134"/>
      <c r="AR7" s="134"/>
      <c r="AS7" s="134"/>
      <c r="AT7" s="134"/>
      <c r="AU7" s="134"/>
      <c r="AV7" s="134"/>
      <c r="AW7" s="134"/>
    </row>
    <row r="8" spans="2:49" ht="10.5" customHeight="1">
      <c r="Z8" s="10"/>
      <c r="AA8" s="315"/>
      <c r="AB8" s="315"/>
    </row>
    <row r="9" spans="2:49" ht="17">
      <c r="B9" s="140" t="s">
        <v>12</v>
      </c>
      <c r="C9" s="140" t="s">
        <v>73</v>
      </c>
      <c r="D9" s="140" t="s">
        <v>11</v>
      </c>
      <c r="E9" s="141" t="s">
        <v>3</v>
      </c>
      <c r="F9" s="146" t="s">
        <v>28</v>
      </c>
      <c r="G9" s="148" t="s">
        <v>68</v>
      </c>
      <c r="H9" s="142" t="s">
        <v>69</v>
      </c>
      <c r="I9" s="159" t="s">
        <v>72</v>
      </c>
      <c r="J9" s="140" t="s">
        <v>70</v>
      </c>
      <c r="K9" s="142" t="s">
        <v>127</v>
      </c>
      <c r="L9" s="217" t="s">
        <v>115</v>
      </c>
      <c r="N9" s="140" t="s">
        <v>12</v>
      </c>
      <c r="O9" s="140" t="s">
        <v>73</v>
      </c>
      <c r="P9" s="140" t="s">
        <v>11</v>
      </c>
      <c r="Q9" s="141" t="s">
        <v>3</v>
      </c>
      <c r="R9" s="146" t="s">
        <v>28</v>
      </c>
      <c r="S9" s="148" t="s">
        <v>68</v>
      </c>
      <c r="T9" s="142" t="s">
        <v>69</v>
      </c>
      <c r="U9" s="159" t="s">
        <v>72</v>
      </c>
      <c r="V9" s="140" t="s">
        <v>70</v>
      </c>
      <c r="W9" s="142" t="s">
        <v>127</v>
      </c>
      <c r="X9" s="217" t="s">
        <v>115</v>
      </c>
      <c r="AB9" s="140" t="s">
        <v>11</v>
      </c>
      <c r="AC9" s="140" t="s">
        <v>242</v>
      </c>
      <c r="AD9" s="607" t="s">
        <v>273</v>
      </c>
      <c r="AE9" s="140" t="s">
        <v>11</v>
      </c>
      <c r="AF9" s="140" t="s">
        <v>242</v>
      </c>
      <c r="AG9" s="607" t="s">
        <v>273</v>
      </c>
    </row>
    <row r="10" spans="2:49" ht="15.5" thickBot="1">
      <c r="B10" s="89" t="s">
        <v>13</v>
      </c>
      <c r="C10" s="89" t="s">
        <v>13</v>
      </c>
      <c r="D10" s="89" t="s">
        <v>26</v>
      </c>
      <c r="E10" s="90" t="s">
        <v>27</v>
      </c>
      <c r="F10" s="147" t="s">
        <v>29</v>
      </c>
      <c r="G10" s="149" t="s">
        <v>29</v>
      </c>
      <c r="H10" s="143" t="s">
        <v>29</v>
      </c>
      <c r="I10" s="145"/>
      <c r="J10" s="89" t="s">
        <v>29</v>
      </c>
      <c r="K10" s="224" t="s">
        <v>128</v>
      </c>
      <c r="L10" s="218" t="s">
        <v>114</v>
      </c>
      <c r="N10" s="89" t="s">
        <v>13</v>
      </c>
      <c r="O10" s="89" t="s">
        <v>13</v>
      </c>
      <c r="P10" s="89" t="s">
        <v>26</v>
      </c>
      <c r="Q10" s="90" t="s">
        <v>27</v>
      </c>
      <c r="R10" s="147" t="s">
        <v>29</v>
      </c>
      <c r="S10" s="149" t="s">
        <v>29</v>
      </c>
      <c r="T10" s="143" t="s">
        <v>29</v>
      </c>
      <c r="U10" s="145"/>
      <c r="V10" s="89" t="s">
        <v>29</v>
      </c>
      <c r="W10" s="224" t="s">
        <v>128</v>
      </c>
      <c r="X10" s="218" t="s">
        <v>114</v>
      </c>
      <c r="AB10" s="89" t="s">
        <v>26</v>
      </c>
      <c r="AC10" s="89" t="s">
        <v>29</v>
      </c>
      <c r="AD10" s="608"/>
      <c r="AE10" s="89" t="s">
        <v>26</v>
      </c>
      <c r="AF10" s="89" t="s">
        <v>29</v>
      </c>
      <c r="AG10" s="608"/>
    </row>
    <row r="11" spans="2:49" ht="15" customHeight="1" thickTop="1">
      <c r="B11" s="164">
        <v>1</v>
      </c>
      <c r="C11" s="166">
        <v>1</v>
      </c>
      <c r="D11" s="337">
        <f>Cascade_Lookup($B11,$C11,"Freq")</f>
        <v>1.2</v>
      </c>
      <c r="E11" s="161" t="e">
        <f ca="1">Cascade_Lookup(B11,C11,"Gain")</f>
        <v>#NAME?</v>
      </c>
      <c r="F11" s="152" t="e">
        <f ca="1">Cascade_Lookup(B11,C11,"Temp")</f>
        <v>#NAME?</v>
      </c>
      <c r="G11" s="150">
        <f t="shared" ref="G11:G20" si="0">Ant_data(B11,D11,"Spill",User_Inputs)</f>
        <v>5.3001000000000005</v>
      </c>
      <c r="H11" s="144">
        <f t="shared" ref="H11:H43" si="1">Tsky_Lookup(D11,Tatm_Data_Table, Tbg_Data_Table, PWV, PWV_Values, Elev_Angle)</f>
        <v>6.0479608403642349</v>
      </c>
      <c r="I11" s="278">
        <f>Ant_data(B11,D11,"Eta",User_Inputs)*Ruze(D11,Sigma_ngVLA)*NoiseToEff(Ant_data(B11,D11,"Surf",User_Inputs))</f>
        <v>0.79931822566145394</v>
      </c>
      <c r="J11" s="151" t="e">
        <f t="shared" ref="J11:J43" ca="1" si="2">T_calwel(F11,D11)+T_calwel(G11,D11)+H11+Ant_data(B11,D11,"Surf",User_Inputs)+(Tn_IRD*EXACT(IRD,"Yes"))</f>
        <v>#NAME?</v>
      </c>
      <c r="K11" s="178" t="e">
        <f t="shared" ref="K11:K43" ca="1" si="3">IF(Array_Size="Single",(Ao_18m*I11)/J11,(Ao_array*I11)/J11)</f>
        <v>#NAME?</v>
      </c>
      <c r="L11" s="219" t="e">
        <f t="shared" ref="L11:L43" ca="1" si="4">120+E11+AbsToDb(k*J11)</f>
        <v>#NAME?</v>
      </c>
      <c r="N11" s="164">
        <v>4</v>
      </c>
      <c r="O11" s="166">
        <v>1</v>
      </c>
      <c r="P11" s="170">
        <f>Cascade_Lookup($N11,$O11,"Freq")</f>
        <v>20.5</v>
      </c>
      <c r="Q11" s="161" t="e">
        <f ca="1">Cascade_Lookup(N11,O11,"Gain")</f>
        <v>#NAME?</v>
      </c>
      <c r="R11" s="152" t="e">
        <f ca="1">Cascade_Lookup(N11,O11,"Temp")</f>
        <v>#NAME?</v>
      </c>
      <c r="S11" s="150">
        <f t="shared" ref="S11:S43" si="5">Ant_data(N11,P11,"Spill",User_Inputs)</f>
        <v>1.0698000000000008</v>
      </c>
      <c r="T11" s="144">
        <f t="shared" ref="T11:T32" si="6">Tsky_Lookup(P11,Tatm_Data_Table, Tbg_Data_Table, PWV, PWV_Values, Elev_Angle)</f>
        <v>13.608613088121986</v>
      </c>
      <c r="U11" s="278">
        <f>Ant_data(N11,P11,"Eta",User_Inputs)*Ruze(P11,Sigma_ngVLA)*NoiseToEff(Ant_data(N11,P11,"Surf",User_Inputs))</f>
        <v>0.9188362311916014</v>
      </c>
      <c r="V11" s="151" t="e">
        <f t="shared" ref="V11:V43" ca="1" si="7">T_calwel(R11,P11)+T_calwel(S11,P11)+T11+Ant_data(N11,P11,"Surf",User_Inputs)+(Tn_IRD*EXACT(IRD,"Yes"))</f>
        <v>#NAME?</v>
      </c>
      <c r="W11" s="178" t="e">
        <f t="shared" ref="W11:W43" ca="1" si="8">IF(Array_Size="Single",(Ao_18m*U11)/V11,(Ao_array*U11)/V11)</f>
        <v>#NAME?</v>
      </c>
      <c r="X11" s="219" t="e">
        <f ca="1">120+Q11+AbsToDb(k*V11)</f>
        <v>#NAME?</v>
      </c>
      <c r="Z11" s="356"/>
      <c r="AA11" s="357"/>
      <c r="AB11" s="337">
        <f>Cascade_Lookup($B11,$C11,"Freq")</f>
        <v>1.2</v>
      </c>
      <c r="AC11" s="418">
        <f t="shared" ref="AC11:AC43" si="9">Noise_Floor_mult*h*AB11*1000000000/k</f>
        <v>0.34570800000000002</v>
      </c>
      <c r="AD11" s="418" t="e">
        <f ca="1">T_LNA("LNA_Band1",AB11)/J11</f>
        <v>#NAME?</v>
      </c>
      <c r="AE11" s="170">
        <f>Cascade_Lookup($N11,$O11,"Freq")</f>
        <v>20.5</v>
      </c>
      <c r="AF11" s="418">
        <f t="shared" ref="AF11:AF43" si="10">Noise_Floor_mult*h*AE11*1000000000/k</f>
        <v>5.9058450000000011</v>
      </c>
      <c r="AG11" s="418" t="e">
        <f ca="1">T_LNA("LNA_Band4",AE11)/V11</f>
        <v>#NAME?</v>
      </c>
      <c r="AH11" s="359"/>
      <c r="AI11" s="358"/>
      <c r="AJ11" s="358"/>
      <c r="AK11" s="358"/>
    </row>
    <row r="12" spans="2:49" ht="14.25" customHeight="1">
      <c r="B12" s="165">
        <v>1</v>
      </c>
      <c r="C12" s="166">
        <v>2</v>
      </c>
      <c r="D12" s="337">
        <f t="shared" ref="D12:D21" si="11">Cascade_Lookup($B12,$C12,"Freq")</f>
        <v>1.32</v>
      </c>
      <c r="E12" s="161" t="e">
        <f t="shared" ref="E12:E21" ca="1" si="12">Cascade_Lookup(B12,C12,"Gain")</f>
        <v>#NAME?</v>
      </c>
      <c r="F12" s="152" t="e">
        <f t="shared" ref="F12:F21" ca="1" si="13">Cascade_Lookup(B12,C12,"Temp")</f>
        <v>#NAME?</v>
      </c>
      <c r="G12" s="150">
        <f t="shared" si="0"/>
        <v>4.7615400000000001</v>
      </c>
      <c r="H12" s="144">
        <f t="shared" si="1"/>
        <v>5.4412081881646763</v>
      </c>
      <c r="I12" s="278">
        <f>Ant_data(B12,D12,"Eta",User_Inputs)*Ruze(D12,Sigma_ngVLA)*NoiseToEff(Ant_data(B12,D12,"Surf",User_Inputs))</f>
        <v>0.80932056868052615</v>
      </c>
      <c r="J12" s="151" t="e">
        <f t="shared" ca="1" si="2"/>
        <v>#NAME?</v>
      </c>
      <c r="K12" s="178" t="e">
        <f t="shared" ca="1" si="3"/>
        <v>#NAME?</v>
      </c>
      <c r="L12" s="219" t="e">
        <f ca="1">120+E12+AbsToDb(k*J12)</f>
        <v>#NAME?</v>
      </c>
      <c r="N12" s="165">
        <v>4</v>
      </c>
      <c r="O12" s="168">
        <v>2</v>
      </c>
      <c r="P12" s="170">
        <f t="shared" ref="P12:P20" si="14">Cascade_Lookup($N12,$O12,"Freq")</f>
        <v>21.6</v>
      </c>
      <c r="Q12" s="161" t="e">
        <f t="shared" ref="Q12:Q21" ca="1" si="15">Cascade_Lookup(N12,O12,"Gain")</f>
        <v>#NAME?</v>
      </c>
      <c r="R12" s="152" t="e">
        <f t="shared" ref="R12:R21" ca="1" si="16">Cascade_Lookup(N12,O12,"Temp")</f>
        <v>#NAME?</v>
      </c>
      <c r="S12" s="150">
        <f t="shared" si="5"/>
        <v>1.0368300000000026</v>
      </c>
      <c r="T12" s="144">
        <f t="shared" si="6"/>
        <v>19.706867143081688</v>
      </c>
      <c r="U12" s="278">
        <f>Ant_data(N12,P12,"Eta",User_Inputs)*Ruze(P12,Sigma_ngVLA)*NoiseToEff(Ant_data(N12,P12,"Surf",User_Inputs))</f>
        <v>0.92191542047555219</v>
      </c>
      <c r="V12" s="151" t="e">
        <f t="shared" ca="1" si="7"/>
        <v>#NAME?</v>
      </c>
      <c r="W12" s="178" t="e">
        <f t="shared" ca="1" si="8"/>
        <v>#NAME?</v>
      </c>
      <c r="X12" s="219" t="e">
        <f t="shared" ref="X12:X43" ca="1" si="17">120+Q12+AbsToDb(k*V12)</f>
        <v>#NAME?</v>
      </c>
      <c r="Z12" s="356"/>
      <c r="AA12" s="357"/>
      <c r="AB12" s="337">
        <f t="shared" ref="AB12:AB21" si="18">Cascade_Lookup($B12,$C12,"Freq")</f>
        <v>1.32</v>
      </c>
      <c r="AC12" s="418">
        <f t="shared" si="9"/>
        <v>0.38027880000000003</v>
      </c>
      <c r="AD12" s="418" t="e">
        <f t="shared" ref="AD12:AD21" ca="1" si="19">T_LNA("LNA_Band1",AB12)/J12</f>
        <v>#NAME?</v>
      </c>
      <c r="AE12" s="170">
        <f t="shared" ref="AE12:AE20" si="20">Cascade_Lookup($N12,$O12,"Freq")</f>
        <v>21.6</v>
      </c>
      <c r="AF12" s="418">
        <f t="shared" si="10"/>
        <v>6.2227440000000005</v>
      </c>
      <c r="AG12" s="418" t="e">
        <f t="shared" ref="AG12:AG21" ca="1" si="21">T_LNA("LNA_Band4",AE12)/V12</f>
        <v>#NAME?</v>
      </c>
      <c r="AH12" s="359"/>
      <c r="AI12" s="358"/>
      <c r="AJ12" s="358"/>
      <c r="AK12" s="358"/>
    </row>
    <row r="13" spans="2:49" ht="14.25" customHeight="1">
      <c r="B13" s="165">
        <v>1</v>
      </c>
      <c r="C13" s="166">
        <v>3</v>
      </c>
      <c r="D13" s="337">
        <f t="shared" si="11"/>
        <v>1.49</v>
      </c>
      <c r="E13" s="161" t="e">
        <f t="shared" ca="1" si="12"/>
        <v>#NAME?</v>
      </c>
      <c r="F13" s="152" t="e">
        <f t="shared" ca="1" si="13"/>
        <v>#NAME?</v>
      </c>
      <c r="G13" s="150">
        <f t="shared" si="0"/>
        <v>3.8655600000000008</v>
      </c>
      <c r="H13" s="144">
        <f t="shared" si="1"/>
        <v>5.2495133217217003</v>
      </c>
      <c r="I13" s="278">
        <f>Ant_data(B13,D13,"Eta",User_Inputs)*Ruze(D13,Sigma_ngVLA)*NoiseToEff(Ant_data(B13,D13,"Surf",User_Inputs))</f>
        <v>0.82716889493019496</v>
      </c>
      <c r="J13" s="151" t="e">
        <f t="shared" ca="1" si="2"/>
        <v>#NAME?</v>
      </c>
      <c r="K13" s="178" t="e">
        <f t="shared" ca="1" si="3"/>
        <v>#NAME?</v>
      </c>
      <c r="L13" s="219" t="e">
        <f t="shared" ca="1" si="4"/>
        <v>#NAME?</v>
      </c>
      <c r="N13" s="165">
        <v>4</v>
      </c>
      <c r="O13" s="168">
        <v>3</v>
      </c>
      <c r="P13" s="170">
        <f t="shared" si="14"/>
        <v>22.7</v>
      </c>
      <c r="Q13" s="161" t="e">
        <f t="shared" ca="1" si="15"/>
        <v>#NAME?</v>
      </c>
      <c r="R13" s="152" t="e">
        <f t="shared" ca="1" si="16"/>
        <v>#NAME?</v>
      </c>
      <c r="S13" s="150">
        <f t="shared" si="5"/>
        <v>0.99776000000000009</v>
      </c>
      <c r="T13" s="144">
        <f t="shared" si="6"/>
        <v>22.806361799233908</v>
      </c>
      <c r="U13" s="278">
        <f>Ant_data(N13,P13,"Eta",User_Inputs)*Ruze(P13,Sigma_ngVLA)*NoiseToEff(Ant_data(N13,P13,"Surf",User_Inputs))</f>
        <v>0.92403488643178944</v>
      </c>
      <c r="V13" s="151" t="e">
        <f t="shared" ca="1" si="7"/>
        <v>#NAME?</v>
      </c>
      <c r="W13" s="178" t="e">
        <f t="shared" ca="1" si="8"/>
        <v>#NAME?</v>
      </c>
      <c r="X13" s="219" t="e">
        <f t="shared" ca="1" si="17"/>
        <v>#NAME?</v>
      </c>
      <c r="Z13" s="356"/>
      <c r="AA13" s="357"/>
      <c r="AB13" s="337">
        <f t="shared" si="18"/>
        <v>1.49</v>
      </c>
      <c r="AC13" s="418">
        <f t="shared" si="9"/>
        <v>0.42925410000000003</v>
      </c>
      <c r="AD13" s="418" t="e">
        <f t="shared" ca="1" si="19"/>
        <v>#NAME?</v>
      </c>
      <c r="AE13" s="170">
        <f t="shared" si="20"/>
        <v>22.7</v>
      </c>
      <c r="AF13" s="418">
        <f t="shared" si="10"/>
        <v>6.539642999999999</v>
      </c>
      <c r="AG13" s="418" t="e">
        <f t="shared" ca="1" si="21"/>
        <v>#NAME?</v>
      </c>
      <c r="AH13" s="359"/>
      <c r="AI13" s="358"/>
      <c r="AJ13" s="358"/>
      <c r="AK13" s="358"/>
    </row>
    <row r="14" spans="2:49" ht="14.25" customHeight="1">
      <c r="B14" s="165">
        <v>1</v>
      </c>
      <c r="C14" s="166">
        <v>4</v>
      </c>
      <c r="D14" s="337">
        <f t="shared" si="11"/>
        <v>1.65</v>
      </c>
      <c r="E14" s="161" t="e">
        <f t="shared" ca="1" si="12"/>
        <v>#NAME?</v>
      </c>
      <c r="F14" s="152" t="e">
        <f t="shared" ca="1" si="13"/>
        <v>#NAME?</v>
      </c>
      <c r="G14" s="150">
        <f t="shared" si="0"/>
        <v>3.0677000000000012</v>
      </c>
      <c r="H14" s="144">
        <f t="shared" si="1"/>
        <v>5.0890166464680844</v>
      </c>
      <c r="I14" s="278">
        <f>Ant_data(B14,D14,"Eta",User_Inputs)*Ruze(D14,Sigma_ngVLA)*NoiseToEff(Ant_data(B14,D14,"Surf",User_Inputs))</f>
        <v>0.8460863838449707</v>
      </c>
      <c r="J14" s="151" t="e">
        <f t="shared" ca="1" si="2"/>
        <v>#NAME?</v>
      </c>
      <c r="K14" s="178" t="e">
        <f t="shared" ca="1" si="3"/>
        <v>#NAME?</v>
      </c>
      <c r="L14" s="219" t="e">
        <f t="shared" ca="1" si="4"/>
        <v>#NAME?</v>
      </c>
      <c r="N14" s="165">
        <v>4</v>
      </c>
      <c r="O14" s="168">
        <v>4</v>
      </c>
      <c r="P14" s="170">
        <f t="shared" si="14"/>
        <v>23.9</v>
      </c>
      <c r="Q14" s="161" t="e">
        <f t="shared" ca="1" si="15"/>
        <v>#NAME?</v>
      </c>
      <c r="R14" s="152" t="e">
        <f t="shared" ca="1" si="16"/>
        <v>#NAME?</v>
      </c>
      <c r="S14" s="150">
        <f t="shared" si="5"/>
        <v>0.92912000000000095</v>
      </c>
      <c r="T14" s="144">
        <f t="shared" si="6"/>
        <v>18.307747071571111</v>
      </c>
      <c r="U14" s="278">
        <f>Ant_data(N14,P14,"Eta",User_Inputs)*Ruze(P14,Sigma_ngVLA)*NoiseToEff(Ant_data(N14,P14,"Surf",User_Inputs))</f>
        <v>0.92505855018272709</v>
      </c>
      <c r="V14" s="151" t="e">
        <f t="shared" ca="1" si="7"/>
        <v>#NAME?</v>
      </c>
      <c r="W14" s="178" t="e">
        <f t="shared" ca="1" si="8"/>
        <v>#NAME?</v>
      </c>
      <c r="X14" s="219" t="e">
        <f t="shared" ca="1" si="17"/>
        <v>#NAME?</v>
      </c>
      <c r="Z14" s="356"/>
      <c r="AA14" s="357"/>
      <c r="AB14" s="337">
        <f t="shared" si="18"/>
        <v>1.65</v>
      </c>
      <c r="AC14" s="418">
        <f t="shared" si="9"/>
        <v>0.47534850000000001</v>
      </c>
      <c r="AD14" s="418" t="e">
        <f t="shared" ca="1" si="19"/>
        <v>#NAME?</v>
      </c>
      <c r="AE14" s="170">
        <f t="shared" si="20"/>
        <v>23.9</v>
      </c>
      <c r="AF14" s="418">
        <f t="shared" si="10"/>
        <v>6.885351</v>
      </c>
      <c r="AG14" s="418" t="e">
        <f t="shared" ca="1" si="21"/>
        <v>#NAME?</v>
      </c>
      <c r="AH14" s="359"/>
      <c r="AI14" s="358"/>
      <c r="AJ14" s="358"/>
      <c r="AK14" s="358"/>
    </row>
    <row r="15" spans="2:49" ht="14.25" customHeight="1">
      <c r="B15" s="165">
        <v>1</v>
      </c>
      <c r="C15" s="166">
        <v>5</v>
      </c>
      <c r="D15" s="337">
        <f t="shared" si="11"/>
        <v>1.84</v>
      </c>
      <c r="E15" s="161" t="e">
        <f t="shared" ca="1" si="12"/>
        <v>#NAME?</v>
      </c>
      <c r="F15" s="152" t="e">
        <f t="shared" ca="1" si="13"/>
        <v>#NAME?</v>
      </c>
      <c r="G15" s="150">
        <f t="shared" si="0"/>
        <v>2.4230999999999998</v>
      </c>
      <c r="H15" s="144">
        <f t="shared" si="1"/>
        <v>4.9269924737310005</v>
      </c>
      <c r="I15" s="278">
        <f>Ant_data(B15,D15,"Eta",User_Inputs)*Ruze(D15,Sigma_ngVLA)*NoiseToEff(Ant_data(B15,D15,"Surf",User_Inputs))</f>
        <v>0.86659002226056747</v>
      </c>
      <c r="J15" s="151" t="e">
        <f t="shared" ca="1" si="2"/>
        <v>#NAME?</v>
      </c>
      <c r="K15" s="178" t="e">
        <f t="shared" ca="1" si="3"/>
        <v>#NAME?</v>
      </c>
      <c r="L15" s="219" t="e">
        <f t="shared" ca="1" si="4"/>
        <v>#NAME?</v>
      </c>
      <c r="N15" s="165">
        <v>4</v>
      </c>
      <c r="O15" s="168">
        <v>5</v>
      </c>
      <c r="P15" s="170">
        <f t="shared" si="14"/>
        <v>25.1</v>
      </c>
      <c r="Q15" s="161" t="e">
        <f t="shared" ca="1" si="15"/>
        <v>#NAME?</v>
      </c>
      <c r="R15" s="152" t="e">
        <f t="shared" ca="1" si="16"/>
        <v>#NAME?</v>
      </c>
      <c r="S15" s="150">
        <f t="shared" si="5"/>
        <v>0.86737857142857056</v>
      </c>
      <c r="T15" s="144">
        <f t="shared" si="6"/>
        <v>14.309990339390852</v>
      </c>
      <c r="U15" s="278">
        <f>Ant_data(N15,P15,"Eta",User_Inputs)*Ruze(P15,Sigma_ngVLA)*NoiseToEff(Ant_data(N15,P15,"Surf",User_Inputs))</f>
        <v>0.92528306029057583</v>
      </c>
      <c r="V15" s="151" t="e">
        <f t="shared" ca="1" si="7"/>
        <v>#NAME?</v>
      </c>
      <c r="W15" s="178" t="e">
        <f t="shared" ca="1" si="8"/>
        <v>#NAME?</v>
      </c>
      <c r="X15" s="219" t="e">
        <f t="shared" ca="1" si="17"/>
        <v>#NAME?</v>
      </c>
      <c r="Z15" s="356"/>
      <c r="AA15" s="357"/>
      <c r="AB15" s="337">
        <f t="shared" si="18"/>
        <v>1.84</v>
      </c>
      <c r="AC15" s="418">
        <f t="shared" si="9"/>
        <v>0.53008560000000005</v>
      </c>
      <c r="AD15" s="418" t="e">
        <f t="shared" ca="1" si="19"/>
        <v>#NAME?</v>
      </c>
      <c r="AE15" s="170">
        <f t="shared" si="20"/>
        <v>25.1</v>
      </c>
      <c r="AF15" s="418">
        <f t="shared" si="10"/>
        <v>7.2310590000000019</v>
      </c>
      <c r="AG15" s="418" t="e">
        <f t="shared" ca="1" si="21"/>
        <v>#NAME?</v>
      </c>
      <c r="AH15" s="359"/>
      <c r="AI15" s="358"/>
      <c r="AJ15" s="358"/>
      <c r="AK15" s="358"/>
      <c r="AM15" s="135"/>
    </row>
    <row r="16" spans="2:49" ht="14.25" customHeight="1">
      <c r="B16" s="165">
        <v>1</v>
      </c>
      <c r="C16" s="166">
        <v>6</v>
      </c>
      <c r="D16" s="337">
        <f t="shared" si="11"/>
        <v>2.0499999999999998</v>
      </c>
      <c r="E16" s="161" t="e">
        <f t="shared" ca="1" si="12"/>
        <v>#NAME?</v>
      </c>
      <c r="F16" s="152" t="e">
        <f t="shared" ca="1" si="13"/>
        <v>#NAME?</v>
      </c>
      <c r="G16" s="150">
        <f t="shared" si="0"/>
        <v>1.3753750000000011</v>
      </c>
      <c r="H16" s="144">
        <f t="shared" si="1"/>
        <v>4.821044319500845</v>
      </c>
      <c r="I16" s="278">
        <f>Ant_data(B16,D16,"Eta",User_Inputs)*Ruze(D16,Sigma_ngVLA)*NoiseToEff(Ant_data(B16,D16,"Surf",User_Inputs))</f>
        <v>0.88458527286056499</v>
      </c>
      <c r="J16" s="151" t="e">
        <f t="shared" ca="1" si="2"/>
        <v>#NAME?</v>
      </c>
      <c r="K16" s="178" t="e">
        <f t="shared" ca="1" si="3"/>
        <v>#NAME?</v>
      </c>
      <c r="L16" s="219" t="e">
        <f t="shared" ca="1" si="4"/>
        <v>#NAME?</v>
      </c>
      <c r="N16" s="165">
        <v>4</v>
      </c>
      <c r="O16" s="168">
        <v>6</v>
      </c>
      <c r="P16" s="170">
        <f t="shared" si="14"/>
        <v>26.4</v>
      </c>
      <c r="Q16" s="161" t="e">
        <f t="shared" ca="1" si="15"/>
        <v>#NAME?</v>
      </c>
      <c r="R16" s="152" t="e">
        <f t="shared" ca="1" si="16"/>
        <v>#NAME?</v>
      </c>
      <c r="S16" s="150">
        <f t="shared" si="5"/>
        <v>0.80339999999999989</v>
      </c>
      <c r="T16" s="144">
        <f t="shared" si="6"/>
        <v>12.212299631132709</v>
      </c>
      <c r="U16" s="278">
        <f>Ant_data(N16,P16,"Eta",User_Inputs)*Ruze(P16,Sigma_ngVLA)*NoiseToEff(Ant_data(N16,P16,"Surf",User_Inputs))</f>
        <v>0.92538057316484867</v>
      </c>
      <c r="V16" s="151" t="e">
        <f t="shared" ca="1" si="7"/>
        <v>#NAME?</v>
      </c>
      <c r="W16" s="178" t="e">
        <f t="shared" ca="1" si="8"/>
        <v>#NAME?</v>
      </c>
      <c r="X16" s="219" t="e">
        <f t="shared" ca="1" si="17"/>
        <v>#NAME?</v>
      </c>
      <c r="Z16" s="356"/>
      <c r="AA16" s="357"/>
      <c r="AB16" s="337">
        <f t="shared" si="18"/>
        <v>2.0499999999999998</v>
      </c>
      <c r="AC16" s="418">
        <f t="shared" si="9"/>
        <v>0.59058449999999996</v>
      </c>
      <c r="AD16" s="418" t="e">
        <f t="shared" ca="1" si="19"/>
        <v>#NAME?</v>
      </c>
      <c r="AE16" s="170">
        <f t="shared" si="20"/>
        <v>26.4</v>
      </c>
      <c r="AF16" s="418">
        <f t="shared" si="10"/>
        <v>7.6055760000000001</v>
      </c>
      <c r="AG16" s="418" t="e">
        <f t="shared" ca="1" si="21"/>
        <v>#NAME?</v>
      </c>
      <c r="AH16" s="359"/>
      <c r="AI16" s="358"/>
      <c r="AJ16" s="358"/>
      <c r="AK16" s="358"/>
    </row>
    <row r="17" spans="2:39" ht="14.25" customHeight="1">
      <c r="B17" s="165">
        <v>1</v>
      </c>
      <c r="C17" s="166">
        <v>7</v>
      </c>
      <c r="D17" s="337">
        <f t="shared" si="11"/>
        <v>2.2799999999999998</v>
      </c>
      <c r="E17" s="161" t="e">
        <f t="shared" ca="1" si="12"/>
        <v>#NAME?</v>
      </c>
      <c r="F17" s="152" t="e">
        <f t="shared" ca="1" si="13"/>
        <v>#NAME?</v>
      </c>
      <c r="G17" s="150">
        <f t="shared" si="0"/>
        <v>0.87163999999999986</v>
      </c>
      <c r="H17" s="144">
        <f t="shared" si="1"/>
        <v>4.7492197667817848</v>
      </c>
      <c r="I17" s="278">
        <f>Ant_data(B17,D17,"Eta",User_Inputs)*Ruze(D17,Sigma_ngVLA)*NoiseToEff(Ant_data(B17,D17,"Surf",User_Inputs))</f>
        <v>0.87762010121988221</v>
      </c>
      <c r="J17" s="151" t="e">
        <f t="shared" ca="1" si="2"/>
        <v>#NAME?</v>
      </c>
      <c r="K17" s="178" t="e">
        <f t="shared" ca="1" si="3"/>
        <v>#NAME?</v>
      </c>
      <c r="L17" s="219" t="e">
        <f t="shared" ca="1" si="4"/>
        <v>#NAME?</v>
      </c>
      <c r="N17" s="165">
        <v>4</v>
      </c>
      <c r="O17" s="168">
        <v>7</v>
      </c>
      <c r="P17" s="170">
        <f t="shared" si="14"/>
        <v>27.8</v>
      </c>
      <c r="Q17" s="161" t="e">
        <f t="shared" ca="1" si="15"/>
        <v>#NAME?</v>
      </c>
      <c r="R17" s="152" t="e">
        <f t="shared" ca="1" si="16"/>
        <v>#NAME?</v>
      </c>
      <c r="S17" s="150">
        <f t="shared" si="5"/>
        <v>0.77531249999999852</v>
      </c>
      <c r="T17" s="144">
        <f t="shared" si="6"/>
        <v>11.314284251982093</v>
      </c>
      <c r="U17" s="278">
        <f>Ant_data(N17,P17,"Eta",User_Inputs)*Ruze(P17,Sigma_ngVLA)*NoiseToEff(Ant_data(N17,P17,"Surf",User_Inputs))</f>
        <v>0.9252530434594084</v>
      </c>
      <c r="V17" s="151" t="e">
        <f t="shared" ca="1" si="7"/>
        <v>#NAME?</v>
      </c>
      <c r="W17" s="178" t="e">
        <f t="shared" ca="1" si="8"/>
        <v>#NAME?</v>
      </c>
      <c r="X17" s="219" t="e">
        <f t="shared" ca="1" si="17"/>
        <v>#NAME?</v>
      </c>
      <c r="Z17" s="356"/>
      <c r="AA17" s="357"/>
      <c r="AB17" s="337">
        <f t="shared" si="18"/>
        <v>2.2799999999999998</v>
      </c>
      <c r="AC17" s="418">
        <f t="shared" si="9"/>
        <v>0.65684520000000002</v>
      </c>
      <c r="AD17" s="418" t="e">
        <f t="shared" ca="1" si="19"/>
        <v>#NAME?</v>
      </c>
      <c r="AE17" s="170">
        <f t="shared" si="20"/>
        <v>27.8</v>
      </c>
      <c r="AF17" s="418">
        <f t="shared" si="10"/>
        <v>8.0089019999999991</v>
      </c>
      <c r="AG17" s="418" t="e">
        <f t="shared" ca="1" si="21"/>
        <v>#NAME?</v>
      </c>
      <c r="AH17" s="359"/>
      <c r="AI17" s="358"/>
      <c r="AJ17" s="358"/>
      <c r="AK17" s="358"/>
    </row>
    <row r="18" spans="2:39" ht="14.25" customHeight="1">
      <c r="B18" s="165">
        <v>1</v>
      </c>
      <c r="C18" s="166">
        <v>8</v>
      </c>
      <c r="D18" s="337">
        <f t="shared" si="11"/>
        <v>2.54</v>
      </c>
      <c r="E18" s="161" t="e">
        <f t="shared" ca="1" si="12"/>
        <v>#NAME?</v>
      </c>
      <c r="F18" s="152" t="e">
        <f t="shared" ca="1" si="13"/>
        <v>#NAME?</v>
      </c>
      <c r="G18" s="150">
        <f t="shared" si="0"/>
        <v>0.83994000000000035</v>
      </c>
      <c r="H18" s="144">
        <f t="shared" si="1"/>
        <v>4.6797416454692566</v>
      </c>
      <c r="I18" s="278">
        <f>Ant_data(B18,D18,"Eta",User_Inputs)*Ruze(D18,Sigma_ngVLA)*NoiseToEff(Ant_data(B18,D18,"Surf",User_Inputs))</f>
        <v>0.86272694038399789</v>
      </c>
      <c r="J18" s="151" t="e">
        <f t="shared" ca="1" si="2"/>
        <v>#NAME?</v>
      </c>
      <c r="K18" s="178" t="e">
        <f t="shared" ca="1" si="3"/>
        <v>#NAME?</v>
      </c>
      <c r="L18" s="219" t="e">
        <f t="shared" ca="1" si="4"/>
        <v>#NAME?</v>
      </c>
      <c r="N18" s="165">
        <v>4</v>
      </c>
      <c r="O18" s="168">
        <v>8</v>
      </c>
      <c r="P18" s="170">
        <f t="shared" si="14"/>
        <v>29.2</v>
      </c>
      <c r="Q18" s="161" t="e">
        <f t="shared" ca="1" si="15"/>
        <v>#NAME?</v>
      </c>
      <c r="R18" s="152" t="e">
        <f t="shared" ca="1" si="16"/>
        <v>#NAME?</v>
      </c>
      <c r="S18" s="150">
        <f t="shared" si="5"/>
        <v>0.77429999999999988</v>
      </c>
      <c r="T18" s="144">
        <f t="shared" si="6"/>
        <v>11.015887716839556</v>
      </c>
      <c r="U18" s="278">
        <f>Ant_data(N18,P18,"Eta",User_Inputs)*Ruze(P18,Sigma_ngVLA)*NoiseToEff(Ant_data(N18,P18,"Surf",User_Inputs))</f>
        <v>0.92402577003833297</v>
      </c>
      <c r="V18" s="151" t="e">
        <f t="shared" ca="1" si="7"/>
        <v>#NAME?</v>
      </c>
      <c r="W18" s="178" t="e">
        <f t="shared" ca="1" si="8"/>
        <v>#NAME?</v>
      </c>
      <c r="X18" s="219" t="e">
        <f t="shared" ca="1" si="17"/>
        <v>#NAME?</v>
      </c>
      <c r="Z18" s="356"/>
      <c r="AA18" s="357"/>
      <c r="AB18" s="337">
        <f t="shared" si="18"/>
        <v>2.54</v>
      </c>
      <c r="AC18" s="418">
        <f t="shared" si="9"/>
        <v>0.73174860000000008</v>
      </c>
      <c r="AD18" s="418" t="e">
        <f t="shared" ca="1" si="19"/>
        <v>#NAME?</v>
      </c>
      <c r="AE18" s="170">
        <f t="shared" si="20"/>
        <v>29.2</v>
      </c>
      <c r="AF18" s="418">
        <f t="shared" si="10"/>
        <v>8.4122280000000007</v>
      </c>
      <c r="AG18" s="418" t="e">
        <f t="shared" ca="1" si="21"/>
        <v>#NAME?</v>
      </c>
      <c r="AH18" s="359"/>
      <c r="AI18" s="358"/>
      <c r="AJ18" s="358"/>
      <c r="AK18" s="358"/>
      <c r="AM18" s="135"/>
    </row>
    <row r="19" spans="2:39" ht="14.25" customHeight="1">
      <c r="B19" s="165">
        <v>1</v>
      </c>
      <c r="C19" s="166">
        <v>9</v>
      </c>
      <c r="D19" s="337">
        <f t="shared" si="11"/>
        <v>2.83</v>
      </c>
      <c r="E19" s="161" t="e">
        <f t="shared" ref="E19" ca="1" si="22">Cascade_Lookup(B19,C19,"Gain")</f>
        <v>#NAME?</v>
      </c>
      <c r="F19" s="152" t="e">
        <f t="shared" ref="F19" ca="1" si="23">Cascade_Lookup(B19,C19,"Temp")</f>
        <v>#NAME?</v>
      </c>
      <c r="G19" s="150">
        <f t="shared" ref="G19" si="24">Ant_data(B19,D19,"Spill",User_Inputs)</f>
        <v>0.57108999999999976</v>
      </c>
      <c r="H19" s="144">
        <f t="shared" ref="H19" si="25">Tsky_Lookup(D19,Tatm_Data_Table, Tbg_Data_Table, PWV, PWV_Values, Elev_Angle)</f>
        <v>4.638490043642082</v>
      </c>
      <c r="I19" s="278">
        <f>Ant_data(B19,D19,"Eta",User_Inputs)*Ruze(D19,Sigma_ngVLA)*NoiseToEff(Ant_data(B19,D19,"Surf",User_Inputs))</f>
        <v>0.83322578520839663</v>
      </c>
      <c r="J19" s="151" t="e">
        <f t="shared" ca="1" si="2"/>
        <v>#NAME?</v>
      </c>
      <c r="K19" s="178" t="e">
        <f t="shared" ca="1" si="3"/>
        <v>#NAME?</v>
      </c>
      <c r="L19" s="219" t="e">
        <f t="shared" ref="L19" ca="1" si="26">120+E19+AbsToDb(k*J19)</f>
        <v>#NAME?</v>
      </c>
      <c r="N19" s="165">
        <v>4</v>
      </c>
      <c r="O19" s="168">
        <v>9</v>
      </c>
      <c r="P19" s="170">
        <f t="shared" si="14"/>
        <v>30.7</v>
      </c>
      <c r="Q19" s="161" t="e">
        <f t="shared" ref="Q19" ca="1" si="27">Cascade_Lookup(N19,O19,"Gain")</f>
        <v>#NAME?</v>
      </c>
      <c r="R19" s="152" t="e">
        <f t="shared" ref="R19" ca="1" si="28">Cascade_Lookup(N19,O19,"Temp")</f>
        <v>#NAME?</v>
      </c>
      <c r="S19" s="150">
        <f t="shared" ref="S19" si="29">Ant_data(N19,P19,"Spill",User_Inputs)</f>
        <v>0.78144500000000072</v>
      </c>
      <c r="T19" s="144">
        <f t="shared" ref="T19" si="30">Tsky_Lookup(P19,Tatm_Data_Table, Tbg_Data_Table, PWV, PWV_Values, Elev_Angle)</f>
        <v>11.217031317104798</v>
      </c>
      <c r="U19" s="278">
        <f>Ant_data(N19,P19,"Eta",User_Inputs)*Ruze(P19,Sigma_ngVLA)*NoiseToEff(Ant_data(N19,P19,"Surf",User_Inputs))</f>
        <v>0.92196285308725645</v>
      </c>
      <c r="V19" s="151" t="e">
        <f t="shared" ca="1" si="7"/>
        <v>#NAME?</v>
      </c>
      <c r="W19" s="178" t="e">
        <f t="shared" ca="1" si="8"/>
        <v>#NAME?</v>
      </c>
      <c r="X19" s="219" t="e">
        <f t="shared" ref="X19" ca="1" si="31">120+Q19+AbsToDb(k*V19)</f>
        <v>#NAME?</v>
      </c>
      <c r="Z19" s="356"/>
      <c r="AA19" s="357"/>
      <c r="AB19" s="337">
        <f t="shared" si="18"/>
        <v>2.83</v>
      </c>
      <c r="AC19" s="418">
        <f t="shared" si="9"/>
        <v>0.81529470000000004</v>
      </c>
      <c r="AD19" s="418" t="e">
        <f t="shared" ca="1" si="19"/>
        <v>#NAME?</v>
      </c>
      <c r="AE19" s="170">
        <f t="shared" si="20"/>
        <v>30.7</v>
      </c>
      <c r="AF19" s="418">
        <f t="shared" si="10"/>
        <v>8.8443629999999995</v>
      </c>
      <c r="AG19" s="418" t="e">
        <f t="shared" ca="1" si="21"/>
        <v>#NAME?</v>
      </c>
      <c r="AH19" s="359"/>
      <c r="AI19" s="358"/>
      <c r="AJ19" s="358"/>
      <c r="AK19" s="358"/>
      <c r="AM19" s="135"/>
    </row>
    <row r="20" spans="2:39" ht="14.25" customHeight="1">
      <c r="B20" s="165">
        <v>1</v>
      </c>
      <c r="C20" s="166">
        <v>10</v>
      </c>
      <c r="D20" s="337">
        <f t="shared" si="11"/>
        <v>3.16</v>
      </c>
      <c r="E20" s="161" t="e">
        <f t="shared" ca="1" si="12"/>
        <v>#NAME?</v>
      </c>
      <c r="F20" s="152" t="e">
        <f t="shared" ca="1" si="13"/>
        <v>#NAME?</v>
      </c>
      <c r="G20" s="150">
        <f t="shared" si="0"/>
        <v>0.28782999999999986</v>
      </c>
      <c r="H20" s="144">
        <f t="shared" si="1"/>
        <v>4.7151010442681205</v>
      </c>
      <c r="I20" s="278">
        <f>Ant_data(B20,D20,"Eta",User_Inputs)*Ruze(D20,Sigma_ngVLA)*NoiseToEff(Ant_data(B20,D20,"Surf",User_Inputs))</f>
        <v>0.77301971937052838</v>
      </c>
      <c r="J20" s="151" t="e">
        <f t="shared" ca="1" si="2"/>
        <v>#NAME?</v>
      </c>
      <c r="K20" s="178" t="e">
        <f t="shared" ca="1" si="3"/>
        <v>#NAME?</v>
      </c>
      <c r="L20" s="219" t="e">
        <f t="shared" ca="1" si="4"/>
        <v>#NAME?</v>
      </c>
      <c r="N20" s="165">
        <v>4</v>
      </c>
      <c r="O20" s="168">
        <v>10</v>
      </c>
      <c r="P20" s="170">
        <f t="shared" si="14"/>
        <v>32.4</v>
      </c>
      <c r="Q20" s="161" t="e">
        <f t="shared" ca="1" si="15"/>
        <v>#NAME?</v>
      </c>
      <c r="R20" s="152" t="e">
        <f t="shared" ca="1" si="16"/>
        <v>#NAME?</v>
      </c>
      <c r="S20" s="150">
        <f t="shared" si="5"/>
        <v>0.77632000000000012</v>
      </c>
      <c r="T20" s="144">
        <f t="shared" si="6"/>
        <v>11.717979322557881</v>
      </c>
      <c r="U20" s="278">
        <f>Ant_data(N20,P20,"Eta",User_Inputs)*Ruze(P20,Sigma_ngVLA)*NoiseToEff(Ant_data(N20,P20,"Surf",User_Inputs))</f>
        <v>0.91796198141238217</v>
      </c>
      <c r="V20" s="151" t="e">
        <f t="shared" ca="1" si="7"/>
        <v>#NAME?</v>
      </c>
      <c r="W20" s="178" t="e">
        <f t="shared" ca="1" si="8"/>
        <v>#NAME?</v>
      </c>
      <c r="X20" s="219" t="e">
        <f t="shared" ca="1" si="17"/>
        <v>#NAME?</v>
      </c>
      <c r="Z20" s="356"/>
      <c r="AA20" s="357"/>
      <c r="AB20" s="337">
        <f t="shared" si="18"/>
        <v>3.16</v>
      </c>
      <c r="AC20" s="418">
        <f t="shared" si="9"/>
        <v>0.91036440000000007</v>
      </c>
      <c r="AD20" s="418" t="e">
        <f t="shared" ca="1" si="19"/>
        <v>#NAME?</v>
      </c>
      <c r="AE20" s="170">
        <f t="shared" si="20"/>
        <v>32.4</v>
      </c>
      <c r="AF20" s="418">
        <f t="shared" si="10"/>
        <v>9.3341160000000016</v>
      </c>
      <c r="AG20" s="418" t="e">
        <f t="shared" ca="1" si="21"/>
        <v>#NAME?</v>
      </c>
      <c r="AH20" s="359"/>
      <c r="AI20" s="358"/>
      <c r="AJ20" s="358"/>
      <c r="AK20" s="358"/>
    </row>
    <row r="21" spans="2:39" ht="14.25" customHeight="1" thickBot="1">
      <c r="B21" s="169">
        <v>1</v>
      </c>
      <c r="C21" s="167">
        <v>11</v>
      </c>
      <c r="D21" s="338">
        <f t="shared" si="11"/>
        <v>3.49</v>
      </c>
      <c r="E21" s="160" t="e">
        <f t="shared" ca="1" si="12"/>
        <v>#NAME?</v>
      </c>
      <c r="F21" s="155" t="e">
        <f t="shared" ca="1" si="13"/>
        <v>#NAME?</v>
      </c>
      <c r="G21" s="156">
        <f>Ant_data(B21,D21,"Spill",User_Inputs)</f>
        <v>0.21044499999999988</v>
      </c>
      <c r="H21" s="158">
        <f t="shared" si="1"/>
        <v>4.7036942076286721</v>
      </c>
      <c r="I21" s="279">
        <f>Ant_data(B21,D21,"Eta",User_Inputs)*Ruze(D21,Sigma_ngVLA)*NoiseToEff(Ant_data(B21,D21,"Surf",User_Inputs))</f>
        <v>0.65716036985375315</v>
      </c>
      <c r="J21" s="157" t="e">
        <f t="shared" ca="1" si="2"/>
        <v>#NAME?</v>
      </c>
      <c r="K21" s="179" t="e">
        <f t="shared" ca="1" si="3"/>
        <v>#NAME?</v>
      </c>
      <c r="L21" s="220" t="e">
        <f t="shared" ca="1" si="4"/>
        <v>#NAME?</v>
      </c>
      <c r="N21" s="169">
        <v>4</v>
      </c>
      <c r="O21" s="167">
        <v>11</v>
      </c>
      <c r="P21" s="171">
        <f>Cascade_Lookup($N21,$O21,"Freq")</f>
        <v>34</v>
      </c>
      <c r="Q21" s="160" t="e">
        <f t="shared" ca="1" si="15"/>
        <v>#NAME?</v>
      </c>
      <c r="R21" s="155" t="e">
        <f t="shared" ca="1" si="16"/>
        <v>#NAME?</v>
      </c>
      <c r="S21" s="156">
        <f t="shared" si="5"/>
        <v>0.71759999999999913</v>
      </c>
      <c r="T21" s="158">
        <f t="shared" si="6"/>
        <v>12.418557437909268</v>
      </c>
      <c r="U21" s="279">
        <f>Ant_data(N21,P21,"Eta",User_Inputs)*Ruze(P21,Sigma_ngVLA)*NoiseToEff(Ant_data(N21,P21,"Surf",User_Inputs))</f>
        <v>0.91117830960445978</v>
      </c>
      <c r="V21" s="157" t="e">
        <f t="shared" ca="1" si="7"/>
        <v>#NAME?</v>
      </c>
      <c r="W21" s="179" t="e">
        <f t="shared" ca="1" si="8"/>
        <v>#NAME?</v>
      </c>
      <c r="X21" s="220" t="e">
        <f t="shared" ca="1" si="17"/>
        <v>#NAME?</v>
      </c>
      <c r="Z21" s="356"/>
      <c r="AA21" s="357"/>
      <c r="AB21" s="338">
        <f t="shared" si="18"/>
        <v>3.49</v>
      </c>
      <c r="AC21" s="418">
        <f t="shared" si="9"/>
        <v>1.0054341</v>
      </c>
      <c r="AD21" s="418" t="e">
        <f t="shared" ca="1" si="19"/>
        <v>#NAME?</v>
      </c>
      <c r="AE21" s="171">
        <f>Cascade_Lookup($N21,$O21,"Freq")</f>
        <v>34</v>
      </c>
      <c r="AF21" s="418">
        <f t="shared" si="10"/>
        <v>9.7950599999999994</v>
      </c>
      <c r="AG21" s="418" t="e">
        <f t="shared" ca="1" si="21"/>
        <v>#NAME?</v>
      </c>
      <c r="AH21" s="359"/>
      <c r="AI21" s="358"/>
      <c r="AJ21" s="358"/>
      <c r="AK21" s="358"/>
    </row>
    <row r="22" spans="2:39" ht="14.25" customHeight="1">
      <c r="B22" s="164">
        <v>2</v>
      </c>
      <c r="C22" s="166">
        <v>1</v>
      </c>
      <c r="D22" s="339">
        <f>Cascade_Lookup($B22,$C22,"Freq")</f>
        <v>3.4099999999999997</v>
      </c>
      <c r="E22" s="161" t="e">
        <f ca="1">Cascade_Lookup(B22,C22,"Gain")</f>
        <v>#NAME?</v>
      </c>
      <c r="F22" s="152" t="e">
        <f ca="1">Cascade_Lookup(B22,C22,"Temp")</f>
        <v>#NAME?</v>
      </c>
      <c r="G22" s="150">
        <f t="shared" ref="G22:G43" si="32">Ant_data(B22,D22,"Spill",User_Inputs)</f>
        <v>2.4615285714285715</v>
      </c>
      <c r="H22" s="144">
        <f t="shared" si="1"/>
        <v>4.7024412808216631</v>
      </c>
      <c r="I22" s="278">
        <f>Ant_data(B22,D22,"Eta",User_Inputs)*Ruze(D22,Sigma_ngVLA)*NoiseToEff(Ant_data(B22,D22,"Surf",User_Inputs))</f>
        <v>0.89731341207211945</v>
      </c>
      <c r="J22" s="151" t="e">
        <f t="shared" ca="1" si="2"/>
        <v>#NAME?</v>
      </c>
      <c r="K22" s="178" t="e">
        <f t="shared" ca="1" si="3"/>
        <v>#NAME?</v>
      </c>
      <c r="L22" s="219" t="e">
        <f t="shared" ca="1" si="4"/>
        <v>#NAME?</v>
      </c>
      <c r="N22" s="164">
        <v>5</v>
      </c>
      <c r="O22" s="166">
        <v>1</v>
      </c>
      <c r="P22" s="172">
        <f>Cascade_Lookup($N22,$O22,"Freq")</f>
        <v>30.5</v>
      </c>
      <c r="Q22" s="161" t="e">
        <f ca="1">Cascade_Lookup(N22,O22,"Gain")</f>
        <v>#NAME?</v>
      </c>
      <c r="R22" s="152" t="e">
        <f ca="1">Cascade_Lookup(N22,O22,"Temp")</f>
        <v>#NAME?</v>
      </c>
      <c r="S22" s="150">
        <f t="shared" si="5"/>
        <v>1.0426000000000002</v>
      </c>
      <c r="T22" s="144">
        <f t="shared" si="6"/>
        <v>11.116981147698336</v>
      </c>
      <c r="U22" s="278">
        <f>Ant_data(N22,P22,"Eta",User_Inputs)*Ruze(P22,Sigma_ngVLA)*NoiseToEff(Ant_data(N22,P22,"Surf",User_Inputs))</f>
        <v>0.89948477279549066</v>
      </c>
      <c r="V22" s="151" t="e">
        <f t="shared" ca="1" si="7"/>
        <v>#NAME?</v>
      </c>
      <c r="W22" s="178" t="e">
        <f t="shared" ca="1" si="8"/>
        <v>#NAME?</v>
      </c>
      <c r="X22" s="219" t="e">
        <f t="shared" ca="1" si="17"/>
        <v>#NAME?</v>
      </c>
      <c r="Z22" s="356"/>
      <c r="AA22" s="357"/>
      <c r="AB22" s="339">
        <f>Cascade_Lookup($B22,$C22,"Freq")</f>
        <v>3.4099999999999997</v>
      </c>
      <c r="AC22" s="418">
        <f t="shared" si="9"/>
        <v>0.98238689999999984</v>
      </c>
      <c r="AD22" s="418" t="e">
        <f ca="1">T_LNA("LNA_Band2",AB22)/J22</f>
        <v>#NAME?</v>
      </c>
      <c r="AE22" s="172">
        <f>Cascade_Lookup($N22,$O22,"Freq")</f>
        <v>30.5</v>
      </c>
      <c r="AF22" s="418">
        <f t="shared" si="10"/>
        <v>8.7867449999999998</v>
      </c>
      <c r="AG22" s="418" t="e">
        <f ca="1">T_LNA("LNA_Band5",AE22)/V22</f>
        <v>#NAME?</v>
      </c>
      <c r="AH22" s="359"/>
      <c r="AI22" s="358"/>
      <c r="AJ22" s="358"/>
      <c r="AK22" s="358"/>
    </row>
    <row r="23" spans="2:39" ht="14.25" customHeight="1">
      <c r="B23" s="165">
        <v>2</v>
      </c>
      <c r="C23" s="168">
        <v>2</v>
      </c>
      <c r="D23" s="339">
        <f t="shared" ref="D23:D32" si="33">Cascade_Lookup($B23,$C23,"Freq")</f>
        <v>3.88</v>
      </c>
      <c r="E23" s="161" t="e">
        <f t="shared" ref="E23:E32" ca="1" si="34">Cascade_Lookup(B23,C23,"Gain")</f>
        <v>#NAME?</v>
      </c>
      <c r="F23" s="152" t="e">
        <f t="shared" ref="F23:F32" ca="1" si="35">Cascade_Lookup(B23,C23,"Temp")</f>
        <v>#NAME?</v>
      </c>
      <c r="G23" s="150">
        <f t="shared" si="32"/>
        <v>2.1103714285714283</v>
      </c>
      <c r="H23" s="144">
        <f t="shared" si="1"/>
        <v>4.7000603005377011</v>
      </c>
      <c r="I23" s="278">
        <f>Ant_data(B23,D23,"Eta",User_Inputs)*Ruze(D23,Sigma_ngVLA)*NoiseToEff(Ant_data(B23,D23,"Surf",User_Inputs))</f>
        <v>0.90576360177117632</v>
      </c>
      <c r="J23" s="151" t="e">
        <f t="shared" ca="1" si="2"/>
        <v>#NAME?</v>
      </c>
      <c r="K23" s="178" t="e">
        <f t="shared" ca="1" si="3"/>
        <v>#NAME?</v>
      </c>
      <c r="L23" s="219" t="e">
        <f t="shared" ca="1" si="4"/>
        <v>#NAME?</v>
      </c>
      <c r="N23" s="165">
        <v>5</v>
      </c>
      <c r="O23" s="168">
        <v>2</v>
      </c>
      <c r="P23" s="172">
        <f t="shared" ref="P23:P32" si="36">Cascade_Lookup($N23,$O23,"Freq")</f>
        <v>32</v>
      </c>
      <c r="Q23" s="161" t="e">
        <f t="shared" ref="Q23:Q32" ca="1" si="37">Cascade_Lookup(N23,O23,"Gain")</f>
        <v>#NAME?</v>
      </c>
      <c r="R23" s="152" t="e">
        <f t="shared" ref="R23:R32" ca="1" si="38">Cascade_Lookup(N23,O23,"Temp")</f>
        <v>#NAME?</v>
      </c>
      <c r="S23" s="150">
        <f t="shared" si="5"/>
        <v>0.97300000000000075</v>
      </c>
      <c r="T23" s="144">
        <f t="shared" si="6"/>
        <v>11.51787523966248</v>
      </c>
      <c r="U23" s="278">
        <f>Ant_data(N23,P23,"Eta",User_Inputs)*Ruze(P23,Sigma_ngVLA)*NoiseToEff(Ant_data(N23,P23,"Surf",User_Inputs))</f>
        <v>0.90016908509058247</v>
      </c>
      <c r="V23" s="151" t="e">
        <f t="shared" ca="1" si="7"/>
        <v>#NAME?</v>
      </c>
      <c r="W23" s="178" t="e">
        <f t="shared" ca="1" si="8"/>
        <v>#NAME?</v>
      </c>
      <c r="X23" s="219" t="e">
        <f t="shared" ca="1" si="17"/>
        <v>#NAME?</v>
      </c>
      <c r="Z23" s="356"/>
      <c r="AA23" s="357"/>
      <c r="AB23" s="339">
        <f t="shared" ref="AB23:AB32" si="39">Cascade_Lookup($B23,$C23,"Freq")</f>
        <v>3.88</v>
      </c>
      <c r="AC23" s="418">
        <f t="shared" si="9"/>
        <v>1.1177892</v>
      </c>
      <c r="AD23" s="418" t="e">
        <f t="shared" ref="AD23:AD32" ca="1" si="40">T_LNA("LNA_Band2",AB23)/J23</f>
        <v>#NAME?</v>
      </c>
      <c r="AE23" s="172">
        <f t="shared" ref="AE23:AE32" si="41">Cascade_Lookup($N23,$O23,"Freq")</f>
        <v>32</v>
      </c>
      <c r="AF23" s="418">
        <f t="shared" si="10"/>
        <v>9.2188800000000004</v>
      </c>
      <c r="AG23" s="418" t="e">
        <f t="shared" ref="AG23:AG32" ca="1" si="42">T_LNA("LNA_Band5",AE23)/V23</f>
        <v>#NAME?</v>
      </c>
      <c r="AH23" s="359"/>
      <c r="AI23" s="358"/>
      <c r="AJ23" s="358"/>
      <c r="AK23" s="358"/>
    </row>
    <row r="24" spans="2:39" ht="14.25" customHeight="1">
      <c r="B24" s="165">
        <v>2</v>
      </c>
      <c r="C24" s="168">
        <v>3</v>
      </c>
      <c r="D24" s="339">
        <f t="shared" si="33"/>
        <v>4.4000000000000004</v>
      </c>
      <c r="E24" s="161" t="e">
        <f t="shared" ca="1" si="34"/>
        <v>#NAME?</v>
      </c>
      <c r="F24" s="152" t="e">
        <f t="shared" ca="1" si="35"/>
        <v>#NAME?</v>
      </c>
      <c r="G24" s="150">
        <f t="shared" si="32"/>
        <v>1.7540999999999998</v>
      </c>
      <c r="H24" s="144">
        <f t="shared" si="1"/>
        <v>4.7073237126674705</v>
      </c>
      <c r="I24" s="278">
        <f>Ant_data(B24,D24,"Eta",User_Inputs)*Ruze(D24,Sigma_ngVLA)*NoiseToEff(Ant_data(B24,D24,"Surf",User_Inputs))</f>
        <v>0.91135603598074266</v>
      </c>
      <c r="J24" s="151" t="e">
        <f t="shared" ca="1" si="2"/>
        <v>#NAME?</v>
      </c>
      <c r="K24" s="178" t="e">
        <f t="shared" ca="1" si="3"/>
        <v>#NAME?</v>
      </c>
      <c r="L24" s="219" t="e">
        <f t="shared" ca="1" si="4"/>
        <v>#NAME?</v>
      </c>
      <c r="N24" s="165">
        <v>5</v>
      </c>
      <c r="O24" s="168">
        <v>3</v>
      </c>
      <c r="P24" s="172">
        <f t="shared" si="36"/>
        <v>33.700000000000003</v>
      </c>
      <c r="Q24" s="161" t="e">
        <f t="shared" ca="1" si="37"/>
        <v>#NAME?</v>
      </c>
      <c r="R24" s="152" t="e">
        <f t="shared" ca="1" si="38"/>
        <v>#NAME?</v>
      </c>
      <c r="S24" s="150">
        <f t="shared" si="5"/>
        <v>0.93015999999999932</v>
      </c>
      <c r="T24" s="144">
        <f t="shared" si="6"/>
        <v>12.318402396920687</v>
      </c>
      <c r="U24" s="278">
        <f>Ant_data(N24,P24,"Eta",User_Inputs)*Ruze(P24,Sigma_ngVLA)*NoiseToEff(Ant_data(N24,P24,"Surf",User_Inputs))</f>
        <v>0.89978534569921576</v>
      </c>
      <c r="V24" s="151" t="e">
        <f t="shared" ca="1" si="7"/>
        <v>#NAME?</v>
      </c>
      <c r="W24" s="178" t="e">
        <f t="shared" ca="1" si="8"/>
        <v>#NAME?</v>
      </c>
      <c r="X24" s="219" t="e">
        <f t="shared" ca="1" si="17"/>
        <v>#NAME?</v>
      </c>
      <c r="Z24" s="356"/>
      <c r="AA24" s="357"/>
      <c r="AB24" s="339">
        <f t="shared" si="39"/>
        <v>4.4000000000000004</v>
      </c>
      <c r="AC24" s="418">
        <f t="shared" si="9"/>
        <v>1.2675960000000002</v>
      </c>
      <c r="AD24" s="418" t="e">
        <f t="shared" ca="1" si="40"/>
        <v>#NAME?</v>
      </c>
      <c r="AE24" s="172">
        <f t="shared" si="41"/>
        <v>33.700000000000003</v>
      </c>
      <c r="AF24" s="418">
        <f t="shared" si="10"/>
        <v>9.7086330000000007</v>
      </c>
      <c r="AG24" s="418" t="e">
        <f t="shared" ca="1" si="42"/>
        <v>#NAME?</v>
      </c>
      <c r="AH24" s="359"/>
      <c r="AI24" s="358"/>
      <c r="AJ24" s="358"/>
      <c r="AK24" s="358"/>
    </row>
    <row r="25" spans="2:39" ht="14.25" customHeight="1">
      <c r="B25" s="165">
        <v>2</v>
      </c>
      <c r="C25" s="168">
        <v>4</v>
      </c>
      <c r="D25" s="339">
        <f t="shared" si="33"/>
        <v>5</v>
      </c>
      <c r="E25" s="161" t="e">
        <f t="shared" ca="1" si="34"/>
        <v>#NAME?</v>
      </c>
      <c r="F25" s="152" t="e">
        <f t="shared" ca="1" si="35"/>
        <v>#NAME?</v>
      </c>
      <c r="G25" s="150">
        <f t="shared" si="32"/>
        <v>1.4024285714285716</v>
      </c>
      <c r="H25" s="144">
        <f t="shared" si="1"/>
        <v>4.7210639250218209</v>
      </c>
      <c r="I25" s="278">
        <f>Ant_data(B25,D25,"Eta",User_Inputs)*Ruze(D25,Sigma_ngVLA)*NoiseToEff(Ant_data(B25,D25,"Surf",User_Inputs))</f>
        <v>0.91604076411350221</v>
      </c>
      <c r="J25" s="151" t="e">
        <f t="shared" ca="1" si="2"/>
        <v>#NAME?</v>
      </c>
      <c r="K25" s="178" t="e">
        <f t="shared" ca="1" si="3"/>
        <v>#NAME?</v>
      </c>
      <c r="L25" s="219" t="e">
        <f t="shared" ca="1" si="4"/>
        <v>#NAME?</v>
      </c>
      <c r="N25" s="165">
        <v>5</v>
      </c>
      <c r="O25" s="168">
        <v>4</v>
      </c>
      <c r="P25" s="172">
        <f t="shared" si="36"/>
        <v>35.5</v>
      </c>
      <c r="Q25" s="161" t="e">
        <f t="shared" ca="1" si="37"/>
        <v>#NAME?</v>
      </c>
      <c r="R25" s="152" t="e">
        <f t="shared" ca="1" si="38"/>
        <v>#NAME?</v>
      </c>
      <c r="S25" s="150">
        <f t="shared" si="5"/>
        <v>0.90499999999999936</v>
      </c>
      <c r="T25" s="144">
        <f t="shared" si="6"/>
        <v>13.418641246817939</v>
      </c>
      <c r="U25" s="278">
        <f>Ant_data(N25,P25,"Eta",User_Inputs)*Ruze(P25,Sigma_ngVLA)*NoiseToEff(Ant_data(N25,P25,"Surf",User_Inputs))</f>
        <v>0.89780691004620494</v>
      </c>
      <c r="V25" s="151" t="e">
        <f t="shared" ca="1" si="7"/>
        <v>#NAME?</v>
      </c>
      <c r="W25" s="178" t="e">
        <f t="shared" ca="1" si="8"/>
        <v>#NAME?</v>
      </c>
      <c r="X25" s="219" t="e">
        <f t="shared" ca="1" si="17"/>
        <v>#NAME?</v>
      </c>
      <c r="Z25" s="356"/>
      <c r="AA25" s="357"/>
      <c r="AB25" s="339">
        <f t="shared" si="39"/>
        <v>5</v>
      </c>
      <c r="AC25" s="418">
        <f t="shared" si="9"/>
        <v>1.44045</v>
      </c>
      <c r="AD25" s="418" t="e">
        <f t="shared" ca="1" si="40"/>
        <v>#NAME?</v>
      </c>
      <c r="AE25" s="172">
        <f t="shared" si="41"/>
        <v>35.5</v>
      </c>
      <c r="AF25" s="418">
        <f t="shared" si="10"/>
        <v>10.227195000000002</v>
      </c>
      <c r="AG25" s="418" t="e">
        <f t="shared" ca="1" si="42"/>
        <v>#NAME?</v>
      </c>
      <c r="AH25" s="359"/>
      <c r="AI25" s="358"/>
      <c r="AJ25" s="358"/>
      <c r="AK25" s="358"/>
    </row>
    <row r="26" spans="2:39" ht="14.25" customHeight="1">
      <c r="B26" s="165">
        <v>2</v>
      </c>
      <c r="C26" s="168">
        <v>5</v>
      </c>
      <c r="D26" s="339">
        <f t="shared" si="33"/>
        <v>5.7</v>
      </c>
      <c r="E26" s="161" t="e">
        <f t="shared" ca="1" si="34"/>
        <v>#NAME?</v>
      </c>
      <c r="F26" s="152" t="e">
        <f t="shared" ca="1" si="35"/>
        <v>#NAME?</v>
      </c>
      <c r="G26" s="150">
        <f t="shared" si="32"/>
        <v>1.1194999999999999</v>
      </c>
      <c r="H26" s="144">
        <f t="shared" si="1"/>
        <v>4.7906720364677611</v>
      </c>
      <c r="I26" s="278">
        <f>Ant_data(B26,D26,"Eta",User_Inputs)*Ruze(D26,Sigma_ngVLA)*NoiseToEff(Ant_data(B26,D26,"Surf",User_Inputs))</f>
        <v>0.92347445126808925</v>
      </c>
      <c r="J26" s="151" t="e">
        <f t="shared" ca="1" si="2"/>
        <v>#NAME?</v>
      </c>
      <c r="K26" s="178" t="e">
        <f t="shared" ca="1" si="3"/>
        <v>#NAME?</v>
      </c>
      <c r="L26" s="219" t="e">
        <f t="shared" ca="1" si="4"/>
        <v>#NAME?</v>
      </c>
      <c r="N26" s="165">
        <v>5</v>
      </c>
      <c r="O26" s="168">
        <v>5</v>
      </c>
      <c r="P26" s="172">
        <f t="shared" si="36"/>
        <v>37.299999999999997</v>
      </c>
      <c r="Q26" s="161" t="e">
        <f t="shared" ca="1" si="37"/>
        <v>#NAME?</v>
      </c>
      <c r="R26" s="152" t="e">
        <f t="shared" ca="1" si="38"/>
        <v>#NAME?</v>
      </c>
      <c r="S26" s="150">
        <f t="shared" si="5"/>
        <v>0.88167272727272716</v>
      </c>
      <c r="T26" s="144">
        <f t="shared" si="6"/>
        <v>14.818558493712871</v>
      </c>
      <c r="U26" s="278">
        <f>Ant_data(N26,P26,"Eta",User_Inputs)*Ruze(P26,Sigma_ngVLA)*NoiseToEff(Ant_data(N26,P26,"Surf",User_Inputs))</f>
        <v>0.89526540834125434</v>
      </c>
      <c r="V26" s="151" t="e">
        <f t="shared" ca="1" si="7"/>
        <v>#NAME?</v>
      </c>
      <c r="W26" s="178" t="e">
        <f t="shared" ca="1" si="8"/>
        <v>#NAME?</v>
      </c>
      <c r="X26" s="219" t="e">
        <f t="shared" ca="1" si="17"/>
        <v>#NAME?</v>
      </c>
      <c r="Z26" s="356"/>
      <c r="AA26" s="357"/>
      <c r="AB26" s="339">
        <f t="shared" si="39"/>
        <v>5.7</v>
      </c>
      <c r="AC26" s="418">
        <f t="shared" si="9"/>
        <v>1.6421129999999999</v>
      </c>
      <c r="AD26" s="418" t="e">
        <f t="shared" ca="1" si="40"/>
        <v>#NAME?</v>
      </c>
      <c r="AE26" s="172">
        <f t="shared" si="41"/>
        <v>37.299999999999997</v>
      </c>
      <c r="AF26" s="418">
        <f t="shared" si="10"/>
        <v>10.745756999999999</v>
      </c>
      <c r="AG26" s="418" t="e">
        <f t="shared" ca="1" si="42"/>
        <v>#NAME?</v>
      </c>
      <c r="AH26" s="359"/>
      <c r="AI26" s="358"/>
      <c r="AJ26" s="358"/>
      <c r="AK26" s="358"/>
    </row>
    <row r="27" spans="2:39" ht="14.25" customHeight="1">
      <c r="B27" s="165">
        <v>2</v>
      </c>
      <c r="C27" s="168">
        <v>6</v>
      </c>
      <c r="D27" s="339">
        <f t="shared" si="33"/>
        <v>6.45</v>
      </c>
      <c r="E27" s="161" t="e">
        <f t="shared" ca="1" si="34"/>
        <v>#NAME?</v>
      </c>
      <c r="F27" s="152" t="e">
        <f t="shared" ca="1" si="35"/>
        <v>#NAME?</v>
      </c>
      <c r="G27" s="150">
        <f t="shared" si="32"/>
        <v>0.97787499999999994</v>
      </c>
      <c r="H27" s="144">
        <f t="shared" si="1"/>
        <v>4.7666720213112983</v>
      </c>
      <c r="I27" s="278">
        <f>Ant_data(B27,D27,"Eta",User_Inputs)*Ruze(D27,Sigma_ngVLA)*NoiseToEff(Ant_data(B27,D27,"Surf",User_Inputs))</f>
        <v>0.9303823683683059</v>
      </c>
      <c r="J27" s="151" t="e">
        <f t="shared" ca="1" si="2"/>
        <v>#NAME?</v>
      </c>
      <c r="K27" s="178" t="e">
        <f t="shared" ca="1" si="3"/>
        <v>#NAME?</v>
      </c>
      <c r="L27" s="219" t="e">
        <f t="shared" ca="1" si="4"/>
        <v>#NAME?</v>
      </c>
      <c r="N27" s="165">
        <v>5</v>
      </c>
      <c r="O27" s="168">
        <v>6</v>
      </c>
      <c r="P27" s="172">
        <f t="shared" si="36"/>
        <v>39.299999999999997</v>
      </c>
      <c r="Q27" s="161" t="e">
        <f t="shared" ca="1" si="37"/>
        <v>#NAME?</v>
      </c>
      <c r="R27" s="152" t="e">
        <f t="shared" ca="1" si="38"/>
        <v>#NAME?</v>
      </c>
      <c r="S27" s="150">
        <f t="shared" si="5"/>
        <v>0.84527368421052773</v>
      </c>
      <c r="T27" s="144">
        <f t="shared" si="6"/>
        <v>16.91798805056521</v>
      </c>
      <c r="U27" s="278">
        <f>Ant_data(N27,P27,"Eta",User_Inputs)*Ruze(P27,Sigma_ngVLA)*NoiseToEff(Ant_data(N27,P27,"Surf",User_Inputs))</f>
        <v>0.89190940382551043</v>
      </c>
      <c r="V27" s="151" t="e">
        <f t="shared" ca="1" si="7"/>
        <v>#NAME?</v>
      </c>
      <c r="W27" s="178" t="e">
        <f t="shared" ca="1" si="8"/>
        <v>#NAME?</v>
      </c>
      <c r="X27" s="219" t="e">
        <f t="shared" ca="1" si="17"/>
        <v>#NAME?</v>
      </c>
      <c r="Z27" s="356"/>
      <c r="AA27" s="357"/>
      <c r="AB27" s="339">
        <f t="shared" si="39"/>
        <v>6.45</v>
      </c>
      <c r="AC27" s="418">
        <f t="shared" si="9"/>
        <v>1.8581805</v>
      </c>
      <c r="AD27" s="418" t="e">
        <f t="shared" ca="1" si="40"/>
        <v>#NAME?</v>
      </c>
      <c r="AE27" s="172">
        <f t="shared" si="41"/>
        <v>39.299999999999997</v>
      </c>
      <c r="AF27" s="418">
        <f t="shared" si="10"/>
        <v>11.321936999999998</v>
      </c>
      <c r="AG27" s="418" t="e">
        <f t="shared" ca="1" si="42"/>
        <v>#NAME?</v>
      </c>
      <c r="AH27" s="359"/>
      <c r="AI27" s="358"/>
      <c r="AJ27" s="358"/>
      <c r="AK27" s="358"/>
    </row>
    <row r="28" spans="2:39" ht="14.25" customHeight="1">
      <c r="B28" s="165">
        <v>2</v>
      </c>
      <c r="C28" s="168">
        <v>7</v>
      </c>
      <c r="D28" s="339">
        <f t="shared" si="33"/>
        <v>7.35</v>
      </c>
      <c r="E28" s="161" t="e">
        <f t="shared" ca="1" si="34"/>
        <v>#NAME?</v>
      </c>
      <c r="F28" s="152" t="e">
        <f t="shared" ca="1" si="35"/>
        <v>#NAME?</v>
      </c>
      <c r="G28" s="150">
        <f t="shared" si="32"/>
        <v>0.8959125</v>
      </c>
      <c r="H28" s="144">
        <f t="shared" si="1"/>
        <v>4.8474074733995804</v>
      </c>
      <c r="I28" s="278">
        <f>Ant_data(B28,D28,"Eta",User_Inputs)*Ruze(D28,Sigma_ngVLA)*NoiseToEff(Ant_data(B28,D28,"Surf",User_Inputs))</f>
        <v>0.93505013504442713</v>
      </c>
      <c r="J28" s="151" t="e">
        <f t="shared" ca="1" si="2"/>
        <v>#NAME?</v>
      </c>
      <c r="K28" s="178" t="e">
        <f t="shared" ca="1" si="3"/>
        <v>#NAME?</v>
      </c>
      <c r="L28" s="219" t="e">
        <f t="shared" ca="1" si="4"/>
        <v>#NAME?</v>
      </c>
      <c r="N28" s="165">
        <v>5</v>
      </c>
      <c r="O28" s="168">
        <v>7</v>
      </c>
      <c r="P28" s="172">
        <f t="shared" si="36"/>
        <v>41.3</v>
      </c>
      <c r="Q28" s="161" t="e">
        <f t="shared" ca="1" si="37"/>
        <v>#NAME?</v>
      </c>
      <c r="R28" s="152" t="e">
        <f t="shared" ca="1" si="38"/>
        <v>#NAME?</v>
      </c>
      <c r="S28" s="150">
        <f t="shared" si="5"/>
        <v>0.84274736842105247</v>
      </c>
      <c r="T28" s="144">
        <f t="shared" si="6"/>
        <v>19.717009112992898</v>
      </c>
      <c r="U28" s="278">
        <f>Ant_data(N28,P28,"Eta",User_Inputs)*Ruze(P28,Sigma_ngVLA)*NoiseToEff(Ant_data(N28,P28,"Surf",User_Inputs))</f>
        <v>0.88795174965739365</v>
      </c>
      <c r="V28" s="151" t="e">
        <f t="shared" ca="1" si="7"/>
        <v>#NAME?</v>
      </c>
      <c r="W28" s="178" t="e">
        <f t="shared" ca="1" si="8"/>
        <v>#NAME?</v>
      </c>
      <c r="X28" s="219" t="e">
        <f t="shared" ca="1" si="17"/>
        <v>#NAME?</v>
      </c>
      <c r="Z28" s="356"/>
      <c r="AA28" s="357"/>
      <c r="AB28" s="339">
        <f t="shared" si="39"/>
        <v>7.35</v>
      </c>
      <c r="AC28" s="418">
        <f t="shared" si="9"/>
        <v>2.1174614999999997</v>
      </c>
      <c r="AD28" s="418" t="e">
        <f t="shared" ca="1" si="40"/>
        <v>#NAME?</v>
      </c>
      <c r="AE28" s="172">
        <f t="shared" si="41"/>
        <v>41.3</v>
      </c>
      <c r="AF28" s="418">
        <f t="shared" si="10"/>
        <v>11.898116999999999</v>
      </c>
      <c r="AG28" s="418" t="e">
        <f t="shared" ca="1" si="42"/>
        <v>#NAME?</v>
      </c>
      <c r="AH28" s="359"/>
      <c r="AI28" s="358"/>
      <c r="AJ28" s="358"/>
      <c r="AK28" s="358"/>
    </row>
    <row r="29" spans="2:39" ht="14.25" customHeight="1">
      <c r="B29" s="165">
        <v>2</v>
      </c>
      <c r="C29" s="168">
        <v>8</v>
      </c>
      <c r="D29" s="339">
        <f t="shared" si="33"/>
        <v>8.35</v>
      </c>
      <c r="E29" s="161" t="e">
        <f t="shared" ca="1" si="34"/>
        <v>#NAME?</v>
      </c>
      <c r="F29" s="152" t="e">
        <f t="shared" ca="1" si="35"/>
        <v>#NAME?</v>
      </c>
      <c r="G29" s="150">
        <f t="shared" si="32"/>
        <v>0.8519958333333334</v>
      </c>
      <c r="H29" s="144">
        <f t="shared" si="1"/>
        <v>4.9345194938331502</v>
      </c>
      <c r="I29" s="278">
        <f>Ant_data(B29,D29,"Eta",User_Inputs)*Ruze(D29,Sigma_ngVLA)*NoiseToEff(Ant_data(B29,D29,"Surf",User_Inputs))</f>
        <v>0.94053740821581455</v>
      </c>
      <c r="J29" s="151" t="e">
        <f t="shared" ca="1" si="2"/>
        <v>#NAME?</v>
      </c>
      <c r="K29" s="178" t="e">
        <f t="shared" ca="1" si="3"/>
        <v>#NAME?</v>
      </c>
      <c r="L29" s="219" t="e">
        <f t="shared" ca="1" si="4"/>
        <v>#NAME?</v>
      </c>
      <c r="N29" s="165">
        <v>5</v>
      </c>
      <c r="O29" s="168">
        <v>8</v>
      </c>
      <c r="P29" s="172">
        <f t="shared" si="36"/>
        <v>43.3</v>
      </c>
      <c r="Q29" s="161" t="e">
        <f t="shared" ca="1" si="37"/>
        <v>#NAME?</v>
      </c>
      <c r="R29" s="152" t="e">
        <f t="shared" ca="1" si="38"/>
        <v>#NAME?</v>
      </c>
      <c r="S29" s="150">
        <f t="shared" si="5"/>
        <v>0.84377999999999831</v>
      </c>
      <c r="T29" s="144">
        <f t="shared" si="6"/>
        <v>23.715527557715152</v>
      </c>
      <c r="U29" s="278">
        <f>Ant_data(N29,P29,"Eta",User_Inputs)*Ruze(P29,Sigma_ngVLA)*NoiseToEff(Ant_data(N29,P29,"Surf",User_Inputs))</f>
        <v>0.883553750892488</v>
      </c>
      <c r="V29" s="151" t="e">
        <f t="shared" ca="1" si="7"/>
        <v>#NAME?</v>
      </c>
      <c r="W29" s="178" t="e">
        <f t="shared" ca="1" si="8"/>
        <v>#NAME?</v>
      </c>
      <c r="X29" s="219" t="e">
        <f t="shared" ca="1" si="17"/>
        <v>#NAME?</v>
      </c>
      <c r="Z29" s="356"/>
      <c r="AA29" s="357"/>
      <c r="AB29" s="339">
        <f t="shared" si="39"/>
        <v>8.35</v>
      </c>
      <c r="AC29" s="418">
        <f t="shared" si="9"/>
        <v>2.4055515000000001</v>
      </c>
      <c r="AD29" s="418" t="e">
        <f t="shared" ca="1" si="40"/>
        <v>#NAME?</v>
      </c>
      <c r="AE29" s="172">
        <f t="shared" si="41"/>
        <v>43.3</v>
      </c>
      <c r="AF29" s="418">
        <f t="shared" si="10"/>
        <v>12.474296999999998</v>
      </c>
      <c r="AG29" s="418" t="e">
        <f t="shared" ca="1" si="42"/>
        <v>#NAME?</v>
      </c>
      <c r="AH29" s="359"/>
      <c r="AI29" s="358"/>
      <c r="AJ29" s="358"/>
      <c r="AK29" s="358"/>
    </row>
    <row r="30" spans="2:39" ht="14.25" customHeight="1">
      <c r="B30" s="165">
        <v>2</v>
      </c>
      <c r="C30" s="168">
        <v>9</v>
      </c>
      <c r="D30" s="339">
        <f t="shared" si="33"/>
        <v>9.5</v>
      </c>
      <c r="E30" s="161" t="e">
        <f t="shared" ref="E30" ca="1" si="43">Cascade_Lookup(B30,C30,"Gain")</f>
        <v>#NAME?</v>
      </c>
      <c r="F30" s="152" t="e">
        <f t="shared" ref="F30" ca="1" si="44">Cascade_Lookup(B30,C30,"Temp")</f>
        <v>#NAME?</v>
      </c>
      <c r="G30" s="150">
        <f t="shared" ref="G30" si="45">Ant_data(B30,D30,"Spill",User_Inputs)</f>
        <v>0.79938333333333333</v>
      </c>
      <c r="H30" s="144">
        <f t="shared" ref="H30" si="46">Tsky_Lookup(D30,Tatm_Data_Table, Tbg_Data_Table, PWV, PWV_Values, Elev_Angle)</f>
        <v>5.0253924375768744</v>
      </c>
      <c r="I30" s="278">
        <f>Ant_data(B30,D30,"Eta",User_Inputs)*Ruze(D30,Sigma_ngVLA)*NoiseToEff(Ant_data(B30,D30,"Surf",User_Inputs))</f>
        <v>0.94718880119856719</v>
      </c>
      <c r="J30" s="151" t="e">
        <f t="shared" ca="1" si="2"/>
        <v>#NAME?</v>
      </c>
      <c r="K30" s="178" t="e">
        <f t="shared" ca="1" si="3"/>
        <v>#NAME?</v>
      </c>
      <c r="L30" s="219" t="e">
        <f t="shared" ref="L30" ca="1" si="47">120+E30+AbsToDb(k*J30)</f>
        <v>#NAME?</v>
      </c>
      <c r="N30" s="165">
        <v>5</v>
      </c>
      <c r="O30" s="168">
        <v>9</v>
      </c>
      <c r="P30" s="172">
        <f t="shared" si="36"/>
        <v>45.7</v>
      </c>
      <c r="Q30" s="161" t="e">
        <f t="shared" ref="Q30" ca="1" si="48">Cascade_Lookup(N30,O30,"Gain")</f>
        <v>#NAME?</v>
      </c>
      <c r="R30" s="152" t="e">
        <f t="shared" ref="R30" ca="1" si="49">Cascade_Lookup(N30,O30,"Temp")</f>
        <v>#NAME?</v>
      </c>
      <c r="S30" s="150">
        <f t="shared" ref="S30" si="50">Ant_data(N30,P30,"Spill",User_Inputs)</f>
        <v>0.86770799999999715</v>
      </c>
      <c r="T30" s="144">
        <f t="shared" ref="T30" si="51">Tsky_Lookup(P30,Tatm_Data_Table, Tbg_Data_Table, PWV, PWV_Values, Elev_Angle)</f>
        <v>30.913269411060252</v>
      </c>
      <c r="U30" s="278">
        <f>Ant_data(N30,P30,"Eta",User_Inputs)*Ruze(P30,Sigma_ngVLA)*NoiseToEff(Ant_data(N30,P30,"Surf",User_Inputs))</f>
        <v>0.87689556614751951</v>
      </c>
      <c r="V30" s="151" t="e">
        <f t="shared" ca="1" si="7"/>
        <v>#NAME?</v>
      </c>
      <c r="W30" s="178" t="e">
        <f t="shared" ca="1" si="8"/>
        <v>#NAME?</v>
      </c>
      <c r="X30" s="219" t="e">
        <f t="shared" ref="X30" ca="1" si="52">120+Q30+AbsToDb(k*V30)</f>
        <v>#NAME?</v>
      </c>
      <c r="Z30" s="356"/>
      <c r="AA30" s="357"/>
      <c r="AB30" s="339">
        <f t="shared" si="39"/>
        <v>9.5</v>
      </c>
      <c r="AC30" s="418">
        <f t="shared" si="9"/>
        <v>2.7368549999999998</v>
      </c>
      <c r="AD30" s="418" t="e">
        <f t="shared" ca="1" si="40"/>
        <v>#NAME?</v>
      </c>
      <c r="AE30" s="172">
        <f t="shared" si="41"/>
        <v>45.7</v>
      </c>
      <c r="AF30" s="418">
        <f t="shared" si="10"/>
        <v>13.165713</v>
      </c>
      <c r="AG30" s="418" t="e">
        <f t="shared" ca="1" si="42"/>
        <v>#NAME?</v>
      </c>
      <c r="AH30" s="359"/>
      <c r="AI30" s="358"/>
      <c r="AJ30" s="358"/>
      <c r="AK30" s="358"/>
    </row>
    <row r="31" spans="2:39" ht="14.25" customHeight="1">
      <c r="B31" s="165">
        <v>2</v>
      </c>
      <c r="C31" s="168">
        <v>10</v>
      </c>
      <c r="D31" s="339">
        <f t="shared" si="33"/>
        <v>10.8</v>
      </c>
      <c r="E31" s="161" t="e">
        <f t="shared" ca="1" si="34"/>
        <v>#NAME?</v>
      </c>
      <c r="F31" s="152" t="e">
        <f t="shared" ca="1" si="35"/>
        <v>#NAME?</v>
      </c>
      <c r="G31" s="150">
        <f t="shared" si="32"/>
        <v>0.67985714285714272</v>
      </c>
      <c r="H31" s="144">
        <f t="shared" si="1"/>
        <v>5.1198006617077816</v>
      </c>
      <c r="I31" s="278">
        <f>Ant_data(B31,D31,"Eta",User_Inputs)*Ruze(D31,Sigma_ngVLA)*NoiseToEff(Ant_data(B31,D31,"Surf",User_Inputs))</f>
        <v>0.94518524176725627</v>
      </c>
      <c r="J31" s="151" t="e">
        <f t="shared" ca="1" si="2"/>
        <v>#NAME?</v>
      </c>
      <c r="K31" s="178" t="e">
        <f t="shared" ca="1" si="3"/>
        <v>#NAME?</v>
      </c>
      <c r="L31" s="219" t="e">
        <f t="shared" ca="1" si="4"/>
        <v>#NAME?</v>
      </c>
      <c r="N31" s="165">
        <v>5</v>
      </c>
      <c r="O31" s="168">
        <v>10</v>
      </c>
      <c r="P31" s="172">
        <f t="shared" si="36"/>
        <v>48</v>
      </c>
      <c r="Q31" s="161" t="e">
        <f t="shared" ca="1" si="37"/>
        <v>#NAME?</v>
      </c>
      <c r="R31" s="152" t="e">
        <f t="shared" ca="1" si="38"/>
        <v>#NAME?</v>
      </c>
      <c r="S31" s="150">
        <f t="shared" si="5"/>
        <v>0.87469999999999715</v>
      </c>
      <c r="T31" s="144">
        <f t="shared" si="6"/>
        <v>42.910567444682442</v>
      </c>
      <c r="U31" s="278">
        <f>Ant_data(N31,P31,"Eta",User_Inputs)*Ruze(P31,Sigma_ngVLA)*NoiseToEff(Ant_data(N31,P31,"Surf",User_Inputs))</f>
        <v>0.86920771654009976</v>
      </c>
      <c r="V31" s="151" t="e">
        <f t="shared" ca="1" si="7"/>
        <v>#NAME?</v>
      </c>
      <c r="W31" s="178" t="e">
        <f t="shared" ca="1" si="8"/>
        <v>#NAME?</v>
      </c>
      <c r="X31" s="219" t="e">
        <f t="shared" ca="1" si="17"/>
        <v>#NAME?</v>
      </c>
      <c r="Z31" s="356"/>
      <c r="AA31" s="357"/>
      <c r="AB31" s="339">
        <f t="shared" si="39"/>
        <v>10.8</v>
      </c>
      <c r="AC31" s="418">
        <f t="shared" si="9"/>
        <v>3.1113720000000002</v>
      </c>
      <c r="AD31" s="418" t="e">
        <f t="shared" ca="1" si="40"/>
        <v>#NAME?</v>
      </c>
      <c r="AE31" s="172">
        <f t="shared" si="41"/>
        <v>48</v>
      </c>
      <c r="AF31" s="418">
        <f t="shared" si="10"/>
        <v>13.82832</v>
      </c>
      <c r="AG31" s="418" t="e">
        <f t="shared" ca="1" si="42"/>
        <v>#NAME?</v>
      </c>
      <c r="AH31" s="359"/>
      <c r="AI31" s="358"/>
      <c r="AJ31" s="358"/>
      <c r="AK31" s="358"/>
    </row>
    <row r="32" spans="2:39" ht="15" customHeight="1" thickBot="1">
      <c r="B32" s="169">
        <v>2</v>
      </c>
      <c r="C32" s="167">
        <v>11</v>
      </c>
      <c r="D32" s="340">
        <f t="shared" si="33"/>
        <v>12.290000000000001</v>
      </c>
      <c r="E32" s="160" t="e">
        <f t="shared" ca="1" si="34"/>
        <v>#NAME?</v>
      </c>
      <c r="F32" s="155" t="e">
        <f t="shared" ca="1" si="35"/>
        <v>#NAME?</v>
      </c>
      <c r="G32" s="156">
        <f t="shared" si="32"/>
        <v>0.49637384615384611</v>
      </c>
      <c r="H32" s="158">
        <f t="shared" si="1"/>
        <v>5.3164920346550408</v>
      </c>
      <c r="I32" s="279">
        <f>Ant_data(B32,D32,"Eta",User_Inputs)*Ruze(D32,Sigma_ngVLA)*NoiseToEff(Ant_data(B32,D32,"Surf",User_Inputs))</f>
        <v>0.94218703878419896</v>
      </c>
      <c r="J32" s="157" t="e">
        <f t="shared" ca="1" si="2"/>
        <v>#NAME?</v>
      </c>
      <c r="K32" s="179" t="e">
        <f t="shared" ca="1" si="3"/>
        <v>#NAME?</v>
      </c>
      <c r="L32" s="220" t="e">
        <f t="shared" ca="1" si="4"/>
        <v>#NAME?</v>
      </c>
      <c r="N32" s="169">
        <v>5</v>
      </c>
      <c r="O32" s="167">
        <v>11</v>
      </c>
      <c r="P32" s="173">
        <f t="shared" si="36"/>
        <v>50.5</v>
      </c>
      <c r="Q32" s="160" t="e">
        <f t="shared" ca="1" si="37"/>
        <v>#NAME?</v>
      </c>
      <c r="R32" s="155" t="e">
        <f t="shared" ca="1" si="38"/>
        <v>#NAME?</v>
      </c>
      <c r="S32" s="156">
        <f t="shared" si="5"/>
        <v>0.77119999999999322</v>
      </c>
      <c r="T32" s="158">
        <f t="shared" si="6"/>
        <v>70.307187847683366</v>
      </c>
      <c r="U32" s="279">
        <f>Ant_data(N32,P32,"Eta",User_Inputs)*Ruze(P32,Sigma_ngVLA)*NoiseToEff(Ant_data(N32,P32,"Surf",User_Inputs))</f>
        <v>0.85714560495254566</v>
      </c>
      <c r="V32" s="157" t="e">
        <f t="shared" ca="1" si="7"/>
        <v>#NAME?</v>
      </c>
      <c r="W32" s="179" t="e">
        <f t="shared" ca="1" si="8"/>
        <v>#NAME?</v>
      </c>
      <c r="X32" s="220" t="e">
        <f t="shared" ca="1" si="17"/>
        <v>#NAME?</v>
      </c>
      <c r="Z32" s="356"/>
      <c r="AA32" s="357"/>
      <c r="AB32" s="340">
        <f t="shared" si="39"/>
        <v>12.290000000000001</v>
      </c>
      <c r="AC32" s="418">
        <f t="shared" si="9"/>
        <v>3.5406260999999999</v>
      </c>
      <c r="AD32" s="418" t="e">
        <f t="shared" ca="1" si="40"/>
        <v>#NAME?</v>
      </c>
      <c r="AE32" s="173">
        <f t="shared" si="41"/>
        <v>50.5</v>
      </c>
      <c r="AF32" s="418">
        <f t="shared" si="10"/>
        <v>14.548545000000003</v>
      </c>
      <c r="AG32" s="418" t="e">
        <f t="shared" ca="1" si="42"/>
        <v>#NAME?</v>
      </c>
      <c r="AH32" s="359"/>
      <c r="AI32" s="358"/>
      <c r="AJ32" s="358"/>
      <c r="AK32" s="358"/>
    </row>
    <row r="33" spans="2:37" ht="15" customHeight="1">
      <c r="B33" s="164">
        <v>3</v>
      </c>
      <c r="C33" s="166">
        <v>1</v>
      </c>
      <c r="D33" s="341">
        <f>Cascade_Lookup($B33,$C33,"Freq")</f>
        <v>12.31</v>
      </c>
      <c r="E33" s="161" t="e">
        <f ca="1">Cascade_Lookup(B33,C33,"Gain")</f>
        <v>#NAME?</v>
      </c>
      <c r="F33" s="152" t="e">
        <f ca="1">Cascade_Lookup(B33,C33,"Temp")</f>
        <v>#NAME?</v>
      </c>
      <c r="G33" s="150">
        <f t="shared" si="32"/>
        <v>1.0003087500000001</v>
      </c>
      <c r="H33" s="144">
        <f t="shared" si="1"/>
        <v>5.3162651871346425</v>
      </c>
      <c r="I33" s="278">
        <f>Ant_data(B33,D33,"Eta",User_Inputs)*Ruze(D33,Sigma_ngVLA)*NoiseToEff(Ant_data(B33,D33,"Surf",User_Inputs))</f>
        <v>0.92783346494447916</v>
      </c>
      <c r="J33" s="151" t="e">
        <f t="shared" ca="1" si="2"/>
        <v>#NAME?</v>
      </c>
      <c r="K33" s="178" t="e">
        <f t="shared" ca="1" si="3"/>
        <v>#NAME?</v>
      </c>
      <c r="L33" s="219" t="e">
        <f t="shared" ca="1" si="4"/>
        <v>#NAME?</v>
      </c>
      <c r="N33" s="164">
        <v>6</v>
      </c>
      <c r="O33" s="166">
        <v>1</v>
      </c>
      <c r="P33" s="174">
        <f>Cascade_Lookup($N33,$O33,"Freq")</f>
        <v>70</v>
      </c>
      <c r="Q33" s="161" t="e">
        <f ca="1">Cascade_Lookup(N33,O33,"Gain")</f>
        <v>#NAME?</v>
      </c>
      <c r="R33" s="152" t="e">
        <f ca="1">Cascade_Lookup(N33,O33,"Temp")</f>
        <v>#NAME?</v>
      </c>
      <c r="S33" s="150">
        <f t="shared" si="5"/>
        <v>0.49569999999999936</v>
      </c>
      <c r="T33" s="144">
        <f t="shared" ref="T33:T43" si="53">Tsky_Lookup(P33,Tatm_Data_Table, Tbg_Data_Table, PWV_Band6, PWV_Values, Elev_Angle)</f>
        <v>68.313864272346507</v>
      </c>
      <c r="U33" s="278">
        <f>Ant_data(N33,P33,"Eta",User_Inputs)*Ruze(P33,Sigma_ngVLA)*NoiseToEff(Ant_data(N33,P33,"Surf",User_Inputs))</f>
        <v>0.75449810712837317</v>
      </c>
      <c r="V33" s="151" t="e">
        <f t="shared" ca="1" si="7"/>
        <v>#NAME?</v>
      </c>
      <c r="W33" s="178" t="e">
        <f t="shared" ca="1" si="8"/>
        <v>#NAME?</v>
      </c>
      <c r="X33" s="219" t="e">
        <f t="shared" ca="1" si="17"/>
        <v>#NAME?</v>
      </c>
      <c r="Z33" s="356"/>
      <c r="AA33" s="357"/>
      <c r="AB33" s="341">
        <f>Cascade_Lookup($B33,$C33,"Freq")</f>
        <v>12.31</v>
      </c>
      <c r="AC33" s="418">
        <f t="shared" si="9"/>
        <v>3.5463879000000005</v>
      </c>
      <c r="AD33" s="418" t="e">
        <f ca="1">T_LNA("LNA_Band3",AB33)/J33</f>
        <v>#NAME?</v>
      </c>
      <c r="AE33" s="174">
        <f>Cascade_Lookup($N33,$O33,"Freq")</f>
        <v>70</v>
      </c>
      <c r="AF33" s="418">
        <f t="shared" si="10"/>
        <v>20.1663</v>
      </c>
      <c r="AG33" s="418" t="e">
        <f ca="1">T_LNA("LNA_Band6",AE33)/V33</f>
        <v>#NAME?</v>
      </c>
      <c r="AH33" s="359"/>
      <c r="AI33" s="358"/>
      <c r="AJ33" s="358"/>
      <c r="AK33" s="358"/>
    </row>
    <row r="34" spans="2:37" ht="15" customHeight="1">
      <c r="B34" s="165">
        <v>3</v>
      </c>
      <c r="C34" s="166">
        <v>2</v>
      </c>
      <c r="D34" s="341">
        <f t="shared" ref="D34:D43" si="54">Cascade_Lookup($B34,$C34,"Freq")</f>
        <v>12.94</v>
      </c>
      <c r="E34" s="161" t="e">
        <f t="shared" ref="E34:E43" ca="1" si="55">Cascade_Lookup(B34,C34,"Gain")</f>
        <v>#NAME?</v>
      </c>
      <c r="F34" s="152" t="e">
        <f t="shared" ref="F34:F43" ca="1" si="56">Cascade_Lookup(B34,C34,"Temp")</f>
        <v>#NAME?</v>
      </c>
      <c r="G34" s="150">
        <f t="shared" si="32"/>
        <v>0.92526000000000019</v>
      </c>
      <c r="H34" s="144">
        <f t="shared" si="1"/>
        <v>5.5152978033014701</v>
      </c>
      <c r="I34" s="278">
        <f>Ant_data(B34,D34,"Eta",User_Inputs)*Ruze(D34,Sigma_ngVLA)*NoiseToEff(Ant_data(B34,D34,"Surf",User_Inputs))</f>
        <v>0.93212510927071857</v>
      </c>
      <c r="J34" s="151" t="e">
        <f t="shared" ca="1" si="2"/>
        <v>#NAME?</v>
      </c>
      <c r="K34" s="178" t="e">
        <f t="shared" ca="1" si="3"/>
        <v>#NAME?</v>
      </c>
      <c r="L34" s="219" t="e">
        <f t="shared" ca="1" si="4"/>
        <v>#NAME?</v>
      </c>
      <c r="N34" s="165">
        <v>6</v>
      </c>
      <c r="O34" s="168">
        <v>2</v>
      </c>
      <c r="P34" s="174">
        <f t="shared" ref="P34:P43" si="57">Cascade_Lookup($N34,$O34,"Freq")</f>
        <v>73.8</v>
      </c>
      <c r="Q34" s="161" t="e">
        <f t="shared" ref="Q34:Q43" ca="1" si="58">Cascade_Lookup(N34,O34,"Gain")</f>
        <v>#NAME?</v>
      </c>
      <c r="R34" s="152" t="e">
        <f t="shared" ref="R34:R43" ca="1" si="59">Cascade_Lookup(N34,O34,"Temp")</f>
        <v>#NAME?</v>
      </c>
      <c r="S34" s="150">
        <f t="shared" si="5"/>
        <v>0.42939999999999973</v>
      </c>
      <c r="T34" s="144">
        <f t="shared" si="53"/>
        <v>38.926956542532359</v>
      </c>
      <c r="U34" s="278">
        <f>Ant_data(N34,P34,"Eta",User_Inputs)*Ruze(P34,Sigma_ngVLA)*NoiseToEff(Ant_data(N34,P34,"Surf",User_Inputs))</f>
        <v>0.74002264742641899</v>
      </c>
      <c r="V34" s="151" t="e">
        <f t="shared" ca="1" si="7"/>
        <v>#NAME?</v>
      </c>
      <c r="W34" s="178" t="e">
        <f t="shared" ca="1" si="8"/>
        <v>#NAME?</v>
      </c>
      <c r="X34" s="219" t="e">
        <f t="shared" ca="1" si="17"/>
        <v>#NAME?</v>
      </c>
      <c r="Z34" s="356"/>
      <c r="AA34" s="357"/>
      <c r="AB34" s="341">
        <f t="shared" ref="AB34:AB43" si="60">Cascade_Lookup($B34,$C34,"Freq")</f>
        <v>12.94</v>
      </c>
      <c r="AC34" s="418">
        <f t="shared" si="9"/>
        <v>3.7278846000000003</v>
      </c>
      <c r="AD34" s="418" t="e">
        <f t="shared" ref="AD34:AD43" ca="1" si="61">T_LNA("LNA_Band3",AB34)/J34</f>
        <v>#NAME?</v>
      </c>
      <c r="AE34" s="174">
        <f t="shared" ref="AE34:AE43" si="62">Cascade_Lookup($N34,$O34,"Freq")</f>
        <v>73.8</v>
      </c>
      <c r="AF34" s="418">
        <f t="shared" si="10"/>
        <v>21.261041999999996</v>
      </c>
      <c r="AG34" s="418" t="e">
        <f t="shared" ref="AG34:AG43" ca="1" si="63">T_LNA("LNA_Band6",AE34)/V34</f>
        <v>#NAME?</v>
      </c>
      <c r="AH34" s="359"/>
      <c r="AI34" s="358"/>
      <c r="AJ34" s="358"/>
      <c r="AK34" s="358"/>
    </row>
    <row r="35" spans="2:37" ht="15" customHeight="1">
      <c r="B35" s="165">
        <v>3</v>
      </c>
      <c r="C35" s="166">
        <v>3</v>
      </c>
      <c r="D35" s="341">
        <f t="shared" si="54"/>
        <v>13.6</v>
      </c>
      <c r="E35" s="161" t="e">
        <f t="shared" ca="1" si="55"/>
        <v>#NAME?</v>
      </c>
      <c r="F35" s="152" t="e">
        <f t="shared" ca="1" si="56"/>
        <v>#NAME?</v>
      </c>
      <c r="G35" s="150">
        <f t="shared" si="32"/>
        <v>0.87920000000000043</v>
      </c>
      <c r="H35" s="144">
        <f t="shared" si="1"/>
        <v>5.6145151566445062</v>
      </c>
      <c r="I35" s="278">
        <f>Ant_data(B35,D35,"Eta",User_Inputs)*Ruze(D35,Sigma_ngVLA)*NoiseToEff(Ant_data(B35,D35,"Surf",User_Inputs))</f>
        <v>0.93553547790825231</v>
      </c>
      <c r="J35" s="151" t="e">
        <f t="shared" ca="1" si="2"/>
        <v>#NAME?</v>
      </c>
      <c r="K35" s="178" t="e">
        <f t="shared" ca="1" si="3"/>
        <v>#NAME?</v>
      </c>
      <c r="L35" s="219" t="e">
        <f t="shared" ca="1" si="4"/>
        <v>#NAME?</v>
      </c>
      <c r="M35" s="133"/>
      <c r="N35" s="165">
        <v>6</v>
      </c>
      <c r="O35" s="168">
        <v>3</v>
      </c>
      <c r="P35" s="174">
        <f t="shared" si="57"/>
        <v>77.5</v>
      </c>
      <c r="Q35" s="161" t="e">
        <f t="shared" ca="1" si="58"/>
        <v>#NAME?</v>
      </c>
      <c r="R35" s="152" t="e">
        <f t="shared" ca="1" si="59"/>
        <v>#NAME?</v>
      </c>
      <c r="S35" s="150">
        <f t="shared" si="5"/>
        <v>0.37428571428571417</v>
      </c>
      <c r="T35" s="144">
        <f t="shared" si="53"/>
        <v>27.24245210448921</v>
      </c>
      <c r="U35" s="278">
        <f>Ant_data(N35,P35,"Eta",User_Inputs)*Ruze(P35,Sigma_ngVLA)*NoiseToEff(Ant_data(N35,P35,"Surf",User_Inputs))</f>
        <v>0.72442090302496154</v>
      </c>
      <c r="V35" s="151" t="e">
        <f t="shared" ca="1" si="7"/>
        <v>#NAME?</v>
      </c>
      <c r="W35" s="178" t="e">
        <f t="shared" ca="1" si="8"/>
        <v>#NAME?</v>
      </c>
      <c r="X35" s="219" t="e">
        <f t="shared" ca="1" si="17"/>
        <v>#NAME?</v>
      </c>
      <c r="Z35" s="356"/>
      <c r="AA35" s="357"/>
      <c r="AB35" s="341">
        <f t="shared" si="60"/>
        <v>13.6</v>
      </c>
      <c r="AC35" s="418">
        <f t="shared" si="9"/>
        <v>3.9180240000000004</v>
      </c>
      <c r="AD35" s="418" t="e">
        <f t="shared" ca="1" si="61"/>
        <v>#NAME?</v>
      </c>
      <c r="AE35" s="174">
        <f t="shared" si="62"/>
        <v>77.5</v>
      </c>
      <c r="AF35" s="418">
        <f t="shared" si="10"/>
        <v>22.326975000000001</v>
      </c>
      <c r="AG35" s="418" t="e">
        <f t="shared" ca="1" si="63"/>
        <v>#NAME?</v>
      </c>
      <c r="AH35" s="359"/>
      <c r="AI35" s="358"/>
      <c r="AJ35" s="358"/>
      <c r="AK35" s="358"/>
    </row>
    <row r="36" spans="2:37" ht="15" customHeight="1">
      <c r="B36" s="165">
        <v>3</v>
      </c>
      <c r="C36" s="166">
        <v>4</v>
      </c>
      <c r="D36" s="341">
        <f t="shared" si="54"/>
        <v>14.35</v>
      </c>
      <c r="E36" s="161" t="e">
        <f t="shared" ca="1" si="55"/>
        <v>#NAME?</v>
      </c>
      <c r="F36" s="152" t="e">
        <f t="shared" ca="1" si="56"/>
        <v>#NAME?</v>
      </c>
      <c r="G36" s="150">
        <f t="shared" si="32"/>
        <v>0.84605000000000041</v>
      </c>
      <c r="H36" s="144">
        <f t="shared" si="1"/>
        <v>5.8139363125428591</v>
      </c>
      <c r="I36" s="278">
        <f>Ant_data(B36,D36,"Eta",User_Inputs)*Ruze(D36,Sigma_ngVLA)*NoiseToEff(Ant_data(B36,D36,"Surf",User_Inputs))</f>
        <v>0.93837950550777327</v>
      </c>
      <c r="J36" s="151" t="e">
        <f t="shared" ca="1" si="2"/>
        <v>#NAME?</v>
      </c>
      <c r="K36" s="178" t="e">
        <f t="shared" ca="1" si="3"/>
        <v>#NAME?</v>
      </c>
      <c r="L36" s="219" t="e">
        <f t="shared" ca="1" si="4"/>
        <v>#NAME?</v>
      </c>
      <c r="N36" s="165">
        <v>6</v>
      </c>
      <c r="O36" s="168">
        <v>4</v>
      </c>
      <c r="P36" s="174">
        <f t="shared" si="57"/>
        <v>81.5</v>
      </c>
      <c r="Q36" s="161" t="e">
        <f t="shared" ca="1" si="58"/>
        <v>#NAME?</v>
      </c>
      <c r="R36" s="152" t="e">
        <f t="shared" ca="1" si="59"/>
        <v>#NAME?</v>
      </c>
      <c r="S36" s="150">
        <f t="shared" si="5"/>
        <v>0.31874285714285855</v>
      </c>
      <c r="T36" s="144">
        <f t="shared" si="53"/>
        <v>20.961043546905344</v>
      </c>
      <c r="U36" s="278">
        <f>Ant_data(N36,P36,"Eta",User_Inputs)*Ruze(P36,Sigma_ngVLA)*NoiseToEff(Ant_data(N36,P36,"Surf",User_Inputs))</f>
        <v>0.70656361300473214</v>
      </c>
      <c r="V36" s="151" t="e">
        <f t="shared" ca="1" si="7"/>
        <v>#NAME?</v>
      </c>
      <c r="W36" s="178" t="e">
        <f t="shared" ca="1" si="8"/>
        <v>#NAME?</v>
      </c>
      <c r="X36" s="219" t="e">
        <f t="shared" ca="1" si="17"/>
        <v>#NAME?</v>
      </c>
      <c r="Z36" s="356"/>
      <c r="AA36" s="357"/>
      <c r="AB36" s="341">
        <f t="shared" si="60"/>
        <v>14.35</v>
      </c>
      <c r="AC36" s="418">
        <f t="shared" si="9"/>
        <v>4.1340915000000003</v>
      </c>
      <c r="AD36" s="418" t="e">
        <f t="shared" ca="1" si="61"/>
        <v>#NAME?</v>
      </c>
      <c r="AE36" s="174">
        <f t="shared" si="62"/>
        <v>81.5</v>
      </c>
      <c r="AF36" s="418">
        <f t="shared" si="10"/>
        <v>23.479334999999999</v>
      </c>
      <c r="AG36" s="418" t="e">
        <f t="shared" ca="1" si="63"/>
        <v>#NAME?</v>
      </c>
      <c r="AH36" s="359"/>
      <c r="AI36" s="358"/>
      <c r="AJ36" s="358"/>
      <c r="AK36" s="358"/>
    </row>
    <row r="37" spans="2:37" ht="15" customHeight="1">
      <c r="B37" s="165">
        <v>3</v>
      </c>
      <c r="C37" s="166">
        <v>5</v>
      </c>
      <c r="D37" s="341">
        <f t="shared" si="54"/>
        <v>15.1</v>
      </c>
      <c r="E37" s="161" t="e">
        <f t="shared" ca="1" si="55"/>
        <v>#NAME?</v>
      </c>
      <c r="F37" s="152" t="e">
        <f t="shared" ca="1" si="56"/>
        <v>#NAME?</v>
      </c>
      <c r="G37" s="150">
        <f t="shared" si="32"/>
        <v>0.81937000000000026</v>
      </c>
      <c r="H37" s="144">
        <f t="shared" si="1"/>
        <v>6.0134256520420823</v>
      </c>
      <c r="I37" s="278">
        <f>Ant_data(B37,D37,"Eta",User_Inputs)*Ruze(D37,Sigma_ngVLA)*NoiseToEff(Ant_data(B37,D37,"Surf",User_Inputs))</f>
        <v>0.94046706928240864</v>
      </c>
      <c r="J37" s="151" t="e">
        <f t="shared" ca="1" si="2"/>
        <v>#NAME?</v>
      </c>
      <c r="K37" s="178" t="e">
        <f t="shared" ca="1" si="3"/>
        <v>#NAME?</v>
      </c>
      <c r="L37" s="219" t="e">
        <f t="shared" ca="1" si="4"/>
        <v>#NAME?</v>
      </c>
      <c r="N37" s="165">
        <v>6</v>
      </c>
      <c r="O37" s="168">
        <v>5</v>
      </c>
      <c r="P37" s="174">
        <f t="shared" si="57"/>
        <v>85.5</v>
      </c>
      <c r="Q37" s="161" t="e">
        <f t="shared" ca="1" si="58"/>
        <v>#NAME?</v>
      </c>
      <c r="R37" s="152" t="e">
        <f t="shared" ca="1" si="59"/>
        <v>#NAME?</v>
      </c>
      <c r="S37" s="150">
        <f t="shared" si="5"/>
        <v>0.28261875000000125</v>
      </c>
      <c r="T37" s="144">
        <f t="shared" si="53"/>
        <v>17.580182563403483</v>
      </c>
      <c r="U37" s="278">
        <f>Ant_data(N37,P37,"Eta",User_Inputs)*Ruze(P37,Sigma_ngVLA)*NoiseToEff(Ant_data(N37,P37,"Surf",User_Inputs))</f>
        <v>0.68752986648081771</v>
      </c>
      <c r="V37" s="151" t="e">
        <f t="shared" ca="1" si="7"/>
        <v>#NAME?</v>
      </c>
      <c r="W37" s="178" t="e">
        <f t="shared" ca="1" si="8"/>
        <v>#NAME?</v>
      </c>
      <c r="X37" s="219" t="e">
        <f t="shared" ca="1" si="17"/>
        <v>#NAME?</v>
      </c>
      <c r="Z37" s="356"/>
      <c r="AA37" s="361"/>
      <c r="AB37" s="341">
        <f t="shared" si="60"/>
        <v>15.1</v>
      </c>
      <c r="AC37" s="418">
        <f t="shared" si="9"/>
        <v>4.3501590000000006</v>
      </c>
      <c r="AD37" s="418" t="e">
        <f t="shared" ca="1" si="61"/>
        <v>#NAME?</v>
      </c>
      <c r="AE37" s="174">
        <f t="shared" si="62"/>
        <v>85.5</v>
      </c>
      <c r="AF37" s="418">
        <f t="shared" si="10"/>
        <v>24.631695000000001</v>
      </c>
      <c r="AG37" s="418" t="e">
        <f t="shared" ca="1" si="63"/>
        <v>#NAME?</v>
      </c>
      <c r="AH37" s="359"/>
      <c r="AI37" s="358"/>
      <c r="AJ37" s="358"/>
      <c r="AK37" s="358"/>
    </row>
    <row r="38" spans="2:37" ht="15" customHeight="1">
      <c r="B38" s="165">
        <v>3</v>
      </c>
      <c r="C38" s="166">
        <v>6</v>
      </c>
      <c r="D38" s="341">
        <f t="shared" si="54"/>
        <v>15.9</v>
      </c>
      <c r="E38" s="161" t="e">
        <f t="shared" ca="1" si="55"/>
        <v>#NAME?</v>
      </c>
      <c r="F38" s="152" t="e">
        <f t="shared" ca="1" si="56"/>
        <v>#NAME?</v>
      </c>
      <c r="G38" s="150">
        <f t="shared" si="32"/>
        <v>0.77753000000000039</v>
      </c>
      <c r="H38" s="144">
        <f t="shared" si="1"/>
        <v>6.3130224552427299</v>
      </c>
      <c r="I38" s="278">
        <f>Ant_data(B38,D38,"Eta",User_Inputs)*Ruze(D38,Sigma_ngVLA)*NoiseToEff(Ant_data(B38,D38,"Surf",User_Inputs))</f>
        <v>0.94251910362514613</v>
      </c>
      <c r="J38" s="151" t="e">
        <f t="shared" ca="1" si="2"/>
        <v>#NAME?</v>
      </c>
      <c r="K38" s="178" t="e">
        <f t="shared" ca="1" si="3"/>
        <v>#NAME?</v>
      </c>
      <c r="L38" s="219" t="e">
        <f t="shared" ca="1" si="4"/>
        <v>#NAME?</v>
      </c>
      <c r="M38" s="133"/>
      <c r="N38" s="165">
        <v>6</v>
      </c>
      <c r="O38" s="168">
        <v>6</v>
      </c>
      <c r="P38" s="174">
        <f t="shared" si="57"/>
        <v>90</v>
      </c>
      <c r="Q38" s="161" t="e">
        <f t="shared" ca="1" si="58"/>
        <v>#NAME?</v>
      </c>
      <c r="R38" s="152" t="e">
        <f t="shared" ca="1" si="59"/>
        <v>#NAME?</v>
      </c>
      <c r="S38" s="150">
        <f t="shared" si="5"/>
        <v>0.24510000000000076</v>
      </c>
      <c r="T38" s="144">
        <f t="shared" si="53"/>
        <v>15.50090005794253</v>
      </c>
      <c r="U38" s="278">
        <f>Ant_data(N38,P38,"Eta",User_Inputs)*Ruze(P38,Sigma_ngVLA)*NoiseToEff(Ant_data(N38,P38,"Surf",User_Inputs))</f>
        <v>0.66548144421068933</v>
      </c>
      <c r="V38" s="151" t="e">
        <f t="shared" ca="1" si="7"/>
        <v>#NAME?</v>
      </c>
      <c r="W38" s="178" t="e">
        <f t="shared" ca="1" si="8"/>
        <v>#NAME?</v>
      </c>
      <c r="X38" s="219" t="e">
        <f t="shared" ca="1" si="17"/>
        <v>#NAME?</v>
      </c>
      <c r="Z38" s="356"/>
      <c r="AA38" s="361"/>
      <c r="AB38" s="341">
        <f t="shared" si="60"/>
        <v>15.9</v>
      </c>
      <c r="AC38" s="418">
        <f t="shared" si="9"/>
        <v>4.5806310000000003</v>
      </c>
      <c r="AD38" s="418" t="e">
        <f t="shared" ca="1" si="61"/>
        <v>#NAME?</v>
      </c>
      <c r="AE38" s="174">
        <f t="shared" si="62"/>
        <v>90</v>
      </c>
      <c r="AF38" s="418">
        <f t="shared" si="10"/>
        <v>25.928100000000001</v>
      </c>
      <c r="AG38" s="418" t="e">
        <f t="shared" ca="1" si="63"/>
        <v>#NAME?</v>
      </c>
      <c r="AH38" s="359"/>
      <c r="AI38" s="358"/>
      <c r="AJ38" s="358"/>
      <c r="AK38" s="358"/>
    </row>
    <row r="39" spans="2:37" ht="15" customHeight="1">
      <c r="B39" s="165">
        <v>3</v>
      </c>
      <c r="C39" s="166">
        <v>7</v>
      </c>
      <c r="D39" s="341">
        <f t="shared" si="54"/>
        <v>16.7</v>
      </c>
      <c r="E39" s="161" t="e">
        <f t="shared" ca="1" si="55"/>
        <v>#NAME?</v>
      </c>
      <c r="F39" s="152" t="e">
        <f t="shared" ca="1" si="56"/>
        <v>#NAME?</v>
      </c>
      <c r="G39" s="150">
        <f t="shared" si="32"/>
        <v>0.76088999999999962</v>
      </c>
      <c r="H39" s="144">
        <f t="shared" si="1"/>
        <v>6.812520600411462</v>
      </c>
      <c r="I39" s="278">
        <f>Ant_data(B39,D39,"Eta",User_Inputs)*Ruze(D39,Sigma_ngVLA)*NoiseToEff(Ant_data(B39,D39,"Surf",User_Inputs))</f>
        <v>0.94423450289839561</v>
      </c>
      <c r="J39" s="151" t="e">
        <f t="shared" ca="1" si="2"/>
        <v>#NAME?</v>
      </c>
      <c r="K39" s="178" t="e">
        <f t="shared" ca="1" si="3"/>
        <v>#NAME?</v>
      </c>
      <c r="L39" s="219" t="e">
        <f t="shared" ca="1" si="4"/>
        <v>#NAME?</v>
      </c>
      <c r="N39" s="165">
        <v>6</v>
      </c>
      <c r="O39" s="168">
        <v>7</v>
      </c>
      <c r="P39" s="174">
        <f t="shared" si="57"/>
        <v>95</v>
      </c>
      <c r="Q39" s="161" t="e">
        <f t="shared" ca="1" si="58"/>
        <v>#NAME?</v>
      </c>
      <c r="R39" s="152" t="e">
        <f t="shared" ca="1" si="59"/>
        <v>#NAME?</v>
      </c>
      <c r="S39" s="150">
        <f t="shared" si="5"/>
        <v>0.2306000000000003</v>
      </c>
      <c r="T39" s="144">
        <f t="shared" si="53"/>
        <v>14.619345923535711</v>
      </c>
      <c r="U39" s="278">
        <f>Ant_data(N39,P39,"Eta",User_Inputs)*Ruze(P39,Sigma_ngVLA)*NoiseToEff(Ant_data(N39,P39,"Surf",User_Inputs))</f>
        <v>0.63999857523973414</v>
      </c>
      <c r="V39" s="151" t="e">
        <f t="shared" ca="1" si="7"/>
        <v>#NAME?</v>
      </c>
      <c r="W39" s="178" t="e">
        <f t="shared" ca="1" si="8"/>
        <v>#NAME?</v>
      </c>
      <c r="X39" s="219" t="e">
        <f t="shared" ca="1" si="17"/>
        <v>#NAME?</v>
      </c>
      <c r="Z39" s="356"/>
      <c r="AA39" s="357"/>
      <c r="AB39" s="341">
        <f t="shared" si="60"/>
        <v>16.7</v>
      </c>
      <c r="AC39" s="418">
        <f t="shared" si="9"/>
        <v>4.8111030000000001</v>
      </c>
      <c r="AD39" s="418" t="e">
        <f t="shared" ca="1" si="61"/>
        <v>#NAME?</v>
      </c>
      <c r="AE39" s="174">
        <f t="shared" si="62"/>
        <v>95</v>
      </c>
      <c r="AF39" s="418">
        <f t="shared" si="10"/>
        <v>27.368549999999999</v>
      </c>
      <c r="AG39" s="418" t="e">
        <f t="shared" ca="1" si="63"/>
        <v>#NAME?</v>
      </c>
      <c r="AH39" s="359"/>
      <c r="AI39" s="358"/>
      <c r="AJ39" s="358"/>
      <c r="AK39" s="358"/>
    </row>
    <row r="40" spans="2:37" ht="15" customHeight="1">
      <c r="B40" s="165">
        <v>3</v>
      </c>
      <c r="C40" s="166">
        <v>8</v>
      </c>
      <c r="D40" s="341">
        <f t="shared" si="54"/>
        <v>17.600000000000001</v>
      </c>
      <c r="E40" s="161" t="e">
        <f t="shared" ca="1" si="55"/>
        <v>#NAME?</v>
      </c>
      <c r="F40" s="152" t="e">
        <f t="shared" ca="1" si="56"/>
        <v>#NAME?</v>
      </c>
      <c r="G40" s="150">
        <f t="shared" si="32"/>
        <v>0.76122000000000001</v>
      </c>
      <c r="H40" s="144">
        <f t="shared" si="1"/>
        <v>7.4120584151090032</v>
      </c>
      <c r="I40" s="278">
        <f>Ant_data(B40,D40,"Eta",User_Inputs)*Ruze(D40,Sigma_ngVLA)*NoiseToEff(Ant_data(B40,D40,"Surf",User_Inputs))</f>
        <v>0.9453502784235841</v>
      </c>
      <c r="J40" s="151" t="e">
        <f t="shared" ca="1" si="2"/>
        <v>#NAME?</v>
      </c>
      <c r="K40" s="178" t="e">
        <f t="shared" ca="1" si="3"/>
        <v>#NAME?</v>
      </c>
      <c r="L40" s="219" t="e">
        <f t="shared" ca="1" si="4"/>
        <v>#NAME?</v>
      </c>
      <c r="N40" s="165">
        <v>6</v>
      </c>
      <c r="O40" s="168">
        <v>8</v>
      </c>
      <c r="P40" s="174">
        <f t="shared" si="57"/>
        <v>100</v>
      </c>
      <c r="Q40" s="161" t="e">
        <f t="shared" ca="1" si="58"/>
        <v>#NAME?</v>
      </c>
      <c r="R40" s="152" t="e">
        <f t="shared" ca="1" si="59"/>
        <v>#NAME?</v>
      </c>
      <c r="S40" s="150">
        <f>Ant_data(N40,P40,"Spill",User_Inputs)</f>
        <v>0.21609999999999982</v>
      </c>
      <c r="T40" s="144">
        <f t="shared" si="53"/>
        <v>14.92953673105146</v>
      </c>
      <c r="U40" s="278">
        <f>Ant_data(N40,P40,"Eta",User_Inputs)*Ruze(P40,Sigma_ngVLA)*NoiseToEff(Ant_data(N40,P40,"Surf",User_Inputs))</f>
        <v>0.6141048054159054</v>
      </c>
      <c r="V40" s="151" t="e">
        <f t="shared" ca="1" si="7"/>
        <v>#NAME?</v>
      </c>
      <c r="W40" s="178" t="e">
        <f t="shared" ca="1" si="8"/>
        <v>#NAME?</v>
      </c>
      <c r="X40" s="219" t="e">
        <f t="shared" ca="1" si="17"/>
        <v>#NAME?</v>
      </c>
      <c r="Z40" s="356"/>
      <c r="AA40" s="357"/>
      <c r="AB40" s="341">
        <f t="shared" si="60"/>
        <v>17.600000000000001</v>
      </c>
      <c r="AC40" s="418">
        <f t="shared" si="9"/>
        <v>5.0703840000000007</v>
      </c>
      <c r="AD40" s="418" t="e">
        <f t="shared" ca="1" si="61"/>
        <v>#NAME?</v>
      </c>
      <c r="AE40" s="174">
        <f t="shared" si="62"/>
        <v>100</v>
      </c>
      <c r="AF40" s="418">
        <f t="shared" si="10"/>
        <v>28.809000000000005</v>
      </c>
      <c r="AG40" s="418" t="e">
        <f t="shared" ca="1" si="63"/>
        <v>#NAME?</v>
      </c>
      <c r="AH40" s="358"/>
      <c r="AI40" s="358"/>
      <c r="AJ40" s="358"/>
      <c r="AK40" s="358"/>
    </row>
    <row r="41" spans="2:37" ht="15" customHeight="1">
      <c r="B41" s="165">
        <v>3</v>
      </c>
      <c r="C41" s="166">
        <v>9</v>
      </c>
      <c r="D41" s="341">
        <f t="shared" si="54"/>
        <v>18.5</v>
      </c>
      <c r="E41" s="161" t="e">
        <f t="shared" ref="E41" ca="1" si="64">Cascade_Lookup(B41,C41,"Gain")</f>
        <v>#NAME?</v>
      </c>
      <c r="F41" s="152" t="e">
        <f t="shared" ref="F41" ca="1" si="65">Cascade_Lookup(B41,C41,"Temp")</f>
        <v>#NAME?</v>
      </c>
      <c r="G41" s="150">
        <f t="shared" ref="G41" si="66">Ant_data(B41,D41,"Spill",User_Inputs)</f>
        <v>0.77581111111111178</v>
      </c>
      <c r="H41" s="144">
        <f t="shared" ref="H41" si="67">Tsky_Lookup(D41,Tatm_Data_Table, Tbg_Data_Table, PWV, PWV_Values, Elev_Angle)</f>
        <v>8.5112369620216644</v>
      </c>
      <c r="I41" s="278">
        <f>Ant_data(B41,D41,"Eta",User_Inputs)*Ruze(D41,Sigma_ngVLA)*NoiseToEff(Ant_data(B41,D41,"Surf",User_Inputs))</f>
        <v>0.94572847224663315</v>
      </c>
      <c r="J41" s="151" t="e">
        <f t="shared" ca="1" si="2"/>
        <v>#NAME?</v>
      </c>
      <c r="K41" s="178" t="e">
        <f t="shared" ca="1" si="3"/>
        <v>#NAME?</v>
      </c>
      <c r="L41" s="219" t="e">
        <f t="shared" ref="L41" ca="1" si="68">120+E41+AbsToDb(k*J41)</f>
        <v>#NAME?</v>
      </c>
      <c r="N41" s="165">
        <v>6</v>
      </c>
      <c r="O41" s="168">
        <v>9</v>
      </c>
      <c r="P41" s="174">
        <f t="shared" si="57"/>
        <v>105</v>
      </c>
      <c r="Q41" s="161" t="e">
        <f t="shared" ref="Q41" ca="1" si="69">Cascade_Lookup(N41,O41,"Gain")</f>
        <v>#NAME?</v>
      </c>
      <c r="R41" s="152" t="e">
        <f t="shared" ref="R41" ca="1" si="70">Cascade_Lookup(N41,O41,"Temp")</f>
        <v>#NAME?</v>
      </c>
      <c r="S41" s="150">
        <f>Ant_data(N41,P41,"Spill",User_Inputs)</f>
        <v>0.19913333333333286</v>
      </c>
      <c r="T41" s="144">
        <f t="shared" si="53"/>
        <v>17.025098776494243</v>
      </c>
      <c r="U41" s="278">
        <f>Ant_data(N41,P41,"Eta",User_Inputs)*Ruze(P41,Sigma_ngVLA)*NoiseToEff(Ant_data(N41,P41,"Surf",User_Inputs))</f>
        <v>0.58774751967081496</v>
      </c>
      <c r="V41" s="151" t="e">
        <f t="shared" ca="1" si="7"/>
        <v>#NAME?</v>
      </c>
      <c r="W41" s="178" t="e">
        <f t="shared" ca="1" si="8"/>
        <v>#NAME?</v>
      </c>
      <c r="X41" s="219" t="e">
        <f t="shared" ref="X41" ca="1" si="71">120+Q41+AbsToDb(k*V41)</f>
        <v>#NAME?</v>
      </c>
      <c r="Z41" s="356"/>
      <c r="AA41" s="357"/>
      <c r="AB41" s="341">
        <f t="shared" si="60"/>
        <v>18.5</v>
      </c>
      <c r="AC41" s="418">
        <f t="shared" si="9"/>
        <v>5.3296649999999994</v>
      </c>
      <c r="AD41" s="418" t="e">
        <f t="shared" ca="1" si="61"/>
        <v>#NAME?</v>
      </c>
      <c r="AE41" s="174">
        <f t="shared" si="62"/>
        <v>105</v>
      </c>
      <c r="AF41" s="418">
        <f t="shared" si="10"/>
        <v>30.249450000000003</v>
      </c>
      <c r="AG41" s="418" t="e">
        <f t="shared" ca="1" si="63"/>
        <v>#NAME?</v>
      </c>
      <c r="AH41" s="358"/>
      <c r="AI41" s="358"/>
      <c r="AJ41" s="358"/>
      <c r="AK41" s="358"/>
    </row>
    <row r="42" spans="2:37" ht="15" customHeight="1">
      <c r="B42" s="165">
        <v>3</v>
      </c>
      <c r="C42" s="166">
        <v>10</v>
      </c>
      <c r="D42" s="341">
        <f t="shared" si="54"/>
        <v>19.5</v>
      </c>
      <c r="E42" s="161" t="e">
        <f t="shared" ca="1" si="55"/>
        <v>#NAME?</v>
      </c>
      <c r="F42" s="152" t="e">
        <f t="shared" ca="1" si="56"/>
        <v>#NAME?</v>
      </c>
      <c r="G42" s="150">
        <f t="shared" si="32"/>
        <v>0.77824999999999989</v>
      </c>
      <c r="H42" s="144">
        <f t="shared" si="1"/>
        <v>10.210234657275256</v>
      </c>
      <c r="I42" s="278">
        <f>Ant_data(B42,D42,"Eta",User_Inputs)*Ruze(D42,Sigma_ngVLA)*NoiseToEff(Ant_data(B42,D42,"Surf",User_Inputs))</f>
        <v>0.94416990523241651</v>
      </c>
      <c r="J42" s="151" t="e">
        <f t="shared" ca="1" si="2"/>
        <v>#NAME?</v>
      </c>
      <c r="K42" s="178" t="e">
        <f t="shared" ca="1" si="3"/>
        <v>#NAME?</v>
      </c>
      <c r="L42" s="219" t="e">
        <f t="shared" ca="1" si="4"/>
        <v>#NAME?</v>
      </c>
      <c r="N42" s="165">
        <v>6</v>
      </c>
      <c r="O42" s="168">
        <v>10</v>
      </c>
      <c r="P42" s="174">
        <f t="shared" si="57"/>
        <v>110.6</v>
      </c>
      <c r="Q42" s="161" t="e">
        <f t="shared" ca="1" si="58"/>
        <v>#NAME?</v>
      </c>
      <c r="R42" s="152" t="e">
        <f t="shared" ca="1" si="59"/>
        <v>#NAME?</v>
      </c>
      <c r="S42" s="150">
        <f t="shared" si="5"/>
        <v>0.14565999999999971</v>
      </c>
      <c r="T42" s="144">
        <f t="shared" si="53"/>
        <v>26.78793080233363</v>
      </c>
      <c r="U42" s="278">
        <f>Ant_data(N42,P42,"Eta",User_Inputs)*Ruze(P42,Sigma_ngVLA)*NoiseToEff(Ant_data(N42,P42,"Surf",User_Inputs))</f>
        <v>0.55712992167263165</v>
      </c>
      <c r="V42" s="151" t="e">
        <f t="shared" ca="1" si="7"/>
        <v>#NAME?</v>
      </c>
      <c r="W42" s="178" t="e">
        <f t="shared" ca="1" si="8"/>
        <v>#NAME?</v>
      </c>
      <c r="X42" s="219" t="e">
        <f t="shared" ca="1" si="17"/>
        <v>#NAME?</v>
      </c>
      <c r="Z42" s="356"/>
      <c r="AA42" s="357"/>
      <c r="AB42" s="341">
        <f t="shared" si="60"/>
        <v>19.5</v>
      </c>
      <c r="AC42" s="418">
        <f t="shared" si="9"/>
        <v>5.6177549999999998</v>
      </c>
      <c r="AD42" s="418" t="e">
        <f t="shared" ca="1" si="61"/>
        <v>#NAME?</v>
      </c>
      <c r="AE42" s="174">
        <f t="shared" si="62"/>
        <v>110.6</v>
      </c>
      <c r="AF42" s="418">
        <f t="shared" si="10"/>
        <v>31.862754000000002</v>
      </c>
      <c r="AG42" s="418" t="e">
        <f t="shared" ca="1" si="63"/>
        <v>#NAME?</v>
      </c>
      <c r="AH42" s="358"/>
      <c r="AI42" s="358"/>
      <c r="AJ42" s="358"/>
      <c r="AK42" s="358"/>
    </row>
    <row r="43" spans="2:37" ht="15" customHeight="1">
      <c r="B43" s="165">
        <v>3</v>
      </c>
      <c r="C43" s="166">
        <v>11</v>
      </c>
      <c r="D43" s="341">
        <f t="shared" si="54"/>
        <v>20.5</v>
      </c>
      <c r="E43" s="161" t="e">
        <f t="shared" ca="1" si="55"/>
        <v>#NAME?</v>
      </c>
      <c r="F43" s="152" t="e">
        <f t="shared" ca="1" si="56"/>
        <v>#NAME?</v>
      </c>
      <c r="G43" s="150">
        <f t="shared" si="32"/>
        <v>0.71879999999999988</v>
      </c>
      <c r="H43" s="144">
        <f t="shared" si="1"/>
        <v>13.608613088121986</v>
      </c>
      <c r="I43" s="278">
        <f>Ant_data(B43,D43,"Eta",User_Inputs)*Ruze(D43,Sigma_ngVLA)*NoiseToEff(Ant_data(B43,D43,"Surf",User_Inputs))</f>
        <v>0.93907011639421445</v>
      </c>
      <c r="J43" s="151" t="e">
        <f t="shared" ca="1" si="2"/>
        <v>#NAME?</v>
      </c>
      <c r="K43" s="178" t="e">
        <f t="shared" ca="1" si="3"/>
        <v>#NAME?</v>
      </c>
      <c r="L43" s="219" t="e">
        <f t="shared" ca="1" si="4"/>
        <v>#NAME?</v>
      </c>
      <c r="N43" s="165">
        <v>6</v>
      </c>
      <c r="O43" s="168">
        <v>11</v>
      </c>
      <c r="P43" s="174">
        <f t="shared" si="57"/>
        <v>116</v>
      </c>
      <c r="Q43" s="161" t="e">
        <f t="shared" ca="1" si="58"/>
        <v>#NAME?</v>
      </c>
      <c r="R43" s="152" t="e">
        <f t="shared" ca="1" si="59"/>
        <v>#NAME?</v>
      </c>
      <c r="S43" s="150">
        <f t="shared" si="5"/>
        <v>0.17029999999999745</v>
      </c>
      <c r="T43" s="144">
        <f t="shared" si="53"/>
        <v>112.32302737802651</v>
      </c>
      <c r="U43" s="278">
        <f>Ant_data(N43,P43,"Eta",User_Inputs)*Ruze(P43,Sigma_ngVLA)*NoiseToEff(Ant_data(N43,P43,"Surf",User_Inputs))</f>
        <v>0.52587509708559743</v>
      </c>
      <c r="V43" s="151" t="e">
        <f t="shared" ca="1" si="7"/>
        <v>#NAME?</v>
      </c>
      <c r="W43" s="178" t="e">
        <f t="shared" ca="1" si="8"/>
        <v>#NAME?</v>
      </c>
      <c r="X43" s="219" t="e">
        <f t="shared" ca="1" si="17"/>
        <v>#NAME?</v>
      </c>
      <c r="Z43" s="356"/>
      <c r="AA43" s="357"/>
      <c r="AB43" s="341">
        <f t="shared" si="60"/>
        <v>20.5</v>
      </c>
      <c r="AC43" s="418">
        <f t="shared" si="9"/>
        <v>5.9058450000000011</v>
      </c>
      <c r="AD43" s="418" t="e">
        <f t="shared" ca="1" si="61"/>
        <v>#NAME?</v>
      </c>
      <c r="AE43" s="174">
        <f t="shared" si="62"/>
        <v>116</v>
      </c>
      <c r="AF43" s="418">
        <f t="shared" si="10"/>
        <v>33.418440000000004</v>
      </c>
      <c r="AG43" s="418" t="e">
        <f t="shared" ca="1" si="63"/>
        <v>#NAME?</v>
      </c>
      <c r="AH43" s="358"/>
      <c r="AI43" s="358"/>
      <c r="AJ43" s="358"/>
      <c r="AK43" s="358"/>
    </row>
    <row r="44" spans="2:37">
      <c r="Z44" s="254"/>
    </row>
    <row r="111" spans="4:24" ht="13.5" thickBot="1"/>
    <row r="112" spans="4:24" ht="16" thickBot="1">
      <c r="D112" s="593" t="s">
        <v>209</v>
      </c>
      <c r="E112" s="594"/>
      <c r="F112" s="594"/>
      <c r="G112" s="594"/>
      <c r="H112" s="594"/>
      <c r="I112" s="594"/>
      <c r="J112" s="594"/>
      <c r="K112" s="594"/>
      <c r="L112" s="595"/>
      <c r="P112" s="593" t="s">
        <v>211</v>
      </c>
      <c r="Q112" s="594"/>
      <c r="R112" s="594"/>
      <c r="S112" s="594"/>
      <c r="T112" s="594"/>
      <c r="U112" s="594"/>
      <c r="V112" s="594"/>
      <c r="W112" s="594"/>
      <c r="X112" s="595"/>
    </row>
    <row r="113" spans="4:30" ht="17">
      <c r="D113" s="191" t="s">
        <v>12</v>
      </c>
      <c r="E113" s="194" t="s">
        <v>3</v>
      </c>
      <c r="F113" s="192" t="s">
        <v>28</v>
      </c>
      <c r="G113" s="192" t="s">
        <v>68</v>
      </c>
      <c r="H113" s="192" t="s">
        <v>69</v>
      </c>
      <c r="I113" s="195" t="s">
        <v>96</v>
      </c>
      <c r="J113" s="192" t="s">
        <v>70</v>
      </c>
      <c r="K113" s="192" t="s">
        <v>199</v>
      </c>
      <c r="L113" s="251" t="s">
        <v>116</v>
      </c>
      <c r="P113" s="191" t="s">
        <v>12</v>
      </c>
      <c r="Q113" s="194" t="s">
        <v>3</v>
      </c>
      <c r="R113" s="192" t="s">
        <v>28</v>
      </c>
      <c r="S113" s="192" t="s">
        <v>68</v>
      </c>
      <c r="T113" s="192" t="s">
        <v>69</v>
      </c>
      <c r="U113" s="195" t="s">
        <v>96</v>
      </c>
      <c r="V113" s="192" t="s">
        <v>70</v>
      </c>
      <c r="W113" s="192" t="s">
        <v>199</v>
      </c>
      <c r="X113" s="251" t="s">
        <v>213</v>
      </c>
    </row>
    <row r="114" spans="4:30" ht="14.5" thickBot="1">
      <c r="D114" s="190" t="s">
        <v>13</v>
      </c>
      <c r="E114" s="196" t="s">
        <v>27</v>
      </c>
      <c r="F114" s="89" t="s">
        <v>29</v>
      </c>
      <c r="G114" s="89" t="s">
        <v>29</v>
      </c>
      <c r="H114" s="89" t="s">
        <v>29</v>
      </c>
      <c r="I114" s="89"/>
      <c r="J114" s="89" t="s">
        <v>29</v>
      </c>
      <c r="K114" s="89" t="s">
        <v>29</v>
      </c>
      <c r="L114" s="252" t="s">
        <v>114</v>
      </c>
      <c r="P114" s="190" t="s">
        <v>13</v>
      </c>
      <c r="Q114" s="196" t="s">
        <v>97</v>
      </c>
      <c r="R114" s="89" t="s">
        <v>98</v>
      </c>
      <c r="S114" s="89" t="s">
        <v>98</v>
      </c>
      <c r="T114" s="89" t="s">
        <v>98</v>
      </c>
      <c r="U114" s="89" t="s">
        <v>97</v>
      </c>
      <c r="V114" s="89" t="s">
        <v>98</v>
      </c>
      <c r="W114" s="89" t="s">
        <v>97</v>
      </c>
      <c r="X114" s="252" t="s">
        <v>114</v>
      </c>
    </row>
    <row r="115" spans="4:30" ht="14.5" thickTop="1">
      <c r="D115" s="197">
        <v>1</v>
      </c>
      <c r="E115" s="202" t="e">
        <f ca="1">IF(Averaging="80%",AVERAGE(E12:E20),AVERAGE(E11:E21))</f>
        <v>#NAME?</v>
      </c>
      <c r="F115" s="202" t="e">
        <f t="shared" ref="F115:K115" ca="1" si="72">IF(Averaging="80%",AVERAGE(F12:F20),AVERAGE(F11:F21))</f>
        <v>#NAME?</v>
      </c>
      <c r="G115" s="202">
        <f t="shared" si="72"/>
        <v>2.1431200000000001</v>
      </c>
      <c r="H115" s="202">
        <f t="shared" si="72"/>
        <v>5.0056347725218595</v>
      </c>
      <c r="I115" s="307">
        <f t="shared" si="72"/>
        <v>0.82152929857043977</v>
      </c>
      <c r="J115" s="202" t="e">
        <f t="shared" ca="1" si="72"/>
        <v>#NAME?</v>
      </c>
      <c r="K115" s="202" t="e">
        <f t="shared" ca="1" si="72"/>
        <v>#NAME?</v>
      </c>
      <c r="L115" s="350" t="e">
        <f ca="1">IF(Averaging="80%",TrueAvg(L12:L20),TrueAvg(L11:L21))</f>
        <v>#NAME?</v>
      </c>
      <c r="P115" s="197">
        <v>1</v>
      </c>
      <c r="Q115" s="202" t="e">
        <f ca="1">IF(Averaging="80%",MIN(E12:E20),MIN(E11:E21))</f>
        <v>#NAME?</v>
      </c>
      <c r="R115" s="202" t="e">
        <f ca="1">IF(Averaging="80%",MAX(F12:F20),MAX(F11:F21))</f>
        <v>#NAME?</v>
      </c>
      <c r="S115" s="202">
        <f>IF(Averaging="80%",MAX(G12:G20),MAX(G11:G21))</f>
        <v>5.3001000000000005</v>
      </c>
      <c r="T115" s="202">
        <f>IF(Averaging="80%",MAX(H12:H20),MAX(H11:H21))</f>
        <v>6.0479608403642349</v>
      </c>
      <c r="U115" s="307">
        <f>IF(Averaging="80%",MIN(I12:I20),MIN(I11:I21))</f>
        <v>0.65716036985375315</v>
      </c>
      <c r="V115" s="202" t="e">
        <f ca="1">IF(Averaging="80%",MAX(J12:J20),MAX(J11:J21))</f>
        <v>#NAME?</v>
      </c>
      <c r="W115" s="202" t="e">
        <f ca="1">IF(Averaging="80%",MIN(K12:K20),MIN(K11:K21))</f>
        <v>#NAME?</v>
      </c>
      <c r="X115" s="345" t="e">
        <f ca="1">IF(Averaging="80%",MIN(L12:L20),MIN(L11:L21))</f>
        <v>#NAME?</v>
      </c>
    </row>
    <row r="116" spans="4:30" ht="14">
      <c r="D116" s="198">
        <v>2</v>
      </c>
      <c r="E116" s="203" t="e">
        <f t="shared" ref="E116:K116" ca="1" si="73">IF(Averaging="80%",AVERAGE(E23:E31),AVERAGE(E22:E32))</f>
        <v>#NAME?</v>
      </c>
      <c r="F116" s="203" t="e">
        <f t="shared" ca="1" si="73"/>
        <v>#NAME?</v>
      </c>
      <c r="G116" s="203">
        <f t="shared" si="73"/>
        <v>1.2317569297369295</v>
      </c>
      <c r="H116" s="203">
        <f t="shared" si="73"/>
        <v>4.8756223070909215</v>
      </c>
      <c r="I116" s="308">
        <f t="shared" si="73"/>
        <v>0.92677084168947277</v>
      </c>
      <c r="J116" s="203" t="e">
        <f t="shared" ca="1" si="73"/>
        <v>#NAME?</v>
      </c>
      <c r="K116" s="203" t="e">
        <f t="shared" ca="1" si="73"/>
        <v>#NAME?</v>
      </c>
      <c r="L116" s="346" t="e">
        <f ca="1">IF(Averaging="80%",TrueAvg(L23:L31),TrueAvg(L22:L32))</f>
        <v>#NAME?</v>
      </c>
      <c r="P116" s="198">
        <v>2</v>
      </c>
      <c r="Q116" s="203" t="e">
        <f ca="1">IF(Averaging="80%",MIN(E23:E31),MIN(E22:E32))</f>
        <v>#NAME?</v>
      </c>
      <c r="R116" s="203" t="e">
        <f ca="1">IF(Averaging="80%",MAX(F23:F31),MAX(F22:F32))</f>
        <v>#NAME?</v>
      </c>
      <c r="S116" s="203">
        <f>IF(Averaging="80%",MAX(G23:G31),MAX(G22:G32))</f>
        <v>2.4615285714285715</v>
      </c>
      <c r="T116" s="203">
        <f>IF(Averaging="80%",MAX(H23:H31),MAX(H22:H32))</f>
        <v>5.3164920346550408</v>
      </c>
      <c r="U116" s="308">
        <f>IF(Averaging="80%",MIN(I23:I31),MIN(I22:I32))</f>
        <v>0.89731341207211945</v>
      </c>
      <c r="V116" s="203" t="e">
        <f ca="1">IF(Averaging="80%",MAX(J23:J31),MAX(J22:J32))</f>
        <v>#NAME?</v>
      </c>
      <c r="W116" s="203" t="e">
        <f ca="1">IF(Averaging="80%",MIN(K23:K31),MIN(K22:K32))</f>
        <v>#NAME?</v>
      </c>
      <c r="X116" s="346" t="e">
        <f ca="1">IF(Averaging="80%",MIN(L23:L31),MIN(L22:L32))</f>
        <v>#NAME?</v>
      </c>
    </row>
    <row r="117" spans="4:30" ht="14">
      <c r="D117" s="193">
        <v>3</v>
      </c>
      <c r="E117" s="204" t="e">
        <f t="shared" ref="E117:K117" ca="1" si="74">IF(Averaging="80%",AVERAGE(E34:E42),AVERAGE(E33:E43))</f>
        <v>#NAME?</v>
      </c>
      <c r="F117" s="204" t="e">
        <f t="shared" ca="1" si="74"/>
        <v>#NAME?</v>
      </c>
      <c r="G117" s="204">
        <f t="shared" si="74"/>
        <v>0.82206271464646474</v>
      </c>
      <c r="H117" s="204">
        <f t="shared" si="74"/>
        <v>7.3764660263497861</v>
      </c>
      <c r="I117" s="309">
        <f t="shared" si="74"/>
        <v>0.93958300052127453</v>
      </c>
      <c r="J117" s="204" t="e">
        <f t="shared" ca="1" si="74"/>
        <v>#NAME?</v>
      </c>
      <c r="K117" s="204" t="e">
        <f t="shared" ca="1" si="74"/>
        <v>#NAME?</v>
      </c>
      <c r="L117" s="347" t="e">
        <f ca="1">IF(Averaging="80%",TrueAvg(L34:L42),TrueAvg(L33:L43))</f>
        <v>#NAME?</v>
      </c>
      <c r="P117" s="193">
        <v>3</v>
      </c>
      <c r="Q117" s="204" t="e">
        <f ca="1">IF(Averaging="80%",MIN(E34:E42),MIN(E33:E43))</f>
        <v>#NAME?</v>
      </c>
      <c r="R117" s="204" t="e">
        <f ca="1">IF(Averaging="80%",MAX(F34:F42),MAX(F33:F43))</f>
        <v>#NAME?</v>
      </c>
      <c r="S117" s="204">
        <f>IF(Averaging="80%",MAX(G34:G42),MAX(G33:G43))</f>
        <v>1.0003087500000001</v>
      </c>
      <c r="T117" s="204">
        <f>IF(Averaging="80%",MAX(H34:H42),MAX(H33:H43))</f>
        <v>13.608613088121986</v>
      </c>
      <c r="U117" s="309">
        <f>IF(Averaging="80%",MIN(I34:I42),MIN(I33:I43))</f>
        <v>0.92783346494447916</v>
      </c>
      <c r="V117" s="204" t="e">
        <f ca="1">IF(Averaging="80%",MAX(J34:J42),MAX(J33:J43))</f>
        <v>#NAME?</v>
      </c>
      <c r="W117" s="204" t="e">
        <f ca="1">IF(Averaging="80%",MIN(K34:K42),MIN(K33:K43))</f>
        <v>#NAME?</v>
      </c>
      <c r="X117" s="347" t="e">
        <f ca="1">IF(Averaging="80%",MIN(L34:L42),MIN(L33:L43))</f>
        <v>#NAME?</v>
      </c>
    </row>
    <row r="118" spans="4:30" ht="14">
      <c r="D118" s="199">
        <v>4</v>
      </c>
      <c r="E118" s="205" t="e">
        <f t="shared" ref="E118:K118" ca="1" si="75">IF(Averaging="80%",AVERAGE(Q12:Q20),AVERAGE(Q11:Q21))</f>
        <v>#NAME?</v>
      </c>
      <c r="F118" s="205" t="e">
        <f t="shared" ca="1" si="75"/>
        <v>#NAME?</v>
      </c>
      <c r="G118" s="205">
        <f t="shared" si="75"/>
        <v>0.86629691558441568</v>
      </c>
      <c r="H118" s="205">
        <f t="shared" si="75"/>
        <v>14.421419919902348</v>
      </c>
      <c r="I118" s="310">
        <f t="shared" si="75"/>
        <v>0.9218991526671757</v>
      </c>
      <c r="J118" s="205" t="e">
        <f t="shared" ca="1" si="75"/>
        <v>#NAME?</v>
      </c>
      <c r="K118" s="205" t="e">
        <f t="shared" ca="1" si="75"/>
        <v>#NAME?</v>
      </c>
      <c r="L118" s="348" t="e">
        <f ca="1">IF(Averaging="80%",TrueAvg(X12:X20),TrueAvg(X11:X21))</f>
        <v>#NAME?</v>
      </c>
      <c r="P118" s="199">
        <v>4</v>
      </c>
      <c r="Q118" s="205" t="e">
        <f ca="1">IF(Averaging="80%",MIN(Q12:Q20),MIN(Q11:Q21))</f>
        <v>#NAME?</v>
      </c>
      <c r="R118" s="205" t="e">
        <f ca="1">IF(Averaging="80%",MAX(R12:R20),MAX(R11:R21))</f>
        <v>#NAME?</v>
      </c>
      <c r="S118" s="205">
        <f>IF(Averaging="80%",MAX(S12:S20),MAX(S11:S21))</f>
        <v>1.0698000000000008</v>
      </c>
      <c r="T118" s="205">
        <f>IF(Averaging="80%",MAX(T12:T20),MAX(T11:T21))</f>
        <v>22.806361799233908</v>
      </c>
      <c r="U118" s="310">
        <f>IF(Averaging="80%",MIN(U12:U20),MIN(U11:U21))</f>
        <v>0.91117830960445978</v>
      </c>
      <c r="V118" s="205" t="e">
        <f ca="1">IF(Averaging="80%",MAX(V12:V20),MAX(V11:V21))</f>
        <v>#NAME?</v>
      </c>
      <c r="W118" s="205" t="e">
        <f ca="1">IF(Averaging="80%",MIN(W12:W20),MIN(W11:W21))</f>
        <v>#NAME?</v>
      </c>
      <c r="X118" s="348" t="e">
        <f ca="1">IF(Averaging="80%",MIN(X12:X20),MIN(X11:X21))</f>
        <v>#NAME?</v>
      </c>
    </row>
    <row r="119" spans="4:30" ht="14">
      <c r="D119" s="200">
        <v>5</v>
      </c>
      <c r="E119" s="206" t="e">
        <f t="shared" ref="E119:K119" ca="1" si="76">IF(Averaging="80%",AVERAGE(Q23:Q31),AVERAGE(Q22:Q32))</f>
        <v>#NAME?</v>
      </c>
      <c r="F119" s="206" t="e">
        <f t="shared" ca="1" si="76"/>
        <v>#NAME?</v>
      </c>
      <c r="G119" s="206">
        <f t="shared" si="76"/>
        <v>0.88889470726402664</v>
      </c>
      <c r="H119" s="206">
        <f t="shared" si="76"/>
        <v>24.333818904501058</v>
      </c>
      <c r="I119" s="311">
        <f t="shared" si="76"/>
        <v>0.88719775581711857</v>
      </c>
      <c r="J119" s="206" t="e">
        <f t="shared" ca="1" si="76"/>
        <v>#NAME?</v>
      </c>
      <c r="K119" s="206" t="e">
        <f t="shared" ca="1" si="76"/>
        <v>#NAME?</v>
      </c>
      <c r="L119" s="349" t="e">
        <f ca="1">IF(Averaging="80%",TrueAvg(X23:X31),TrueAvg(X22:X32))</f>
        <v>#NAME?</v>
      </c>
      <c r="P119" s="200">
        <v>5</v>
      </c>
      <c r="Q119" s="206" t="e">
        <f ca="1">IF(Averaging="80%",MIN(Q23:Q31),MIN(Q22:Q32))</f>
        <v>#NAME?</v>
      </c>
      <c r="R119" s="206" t="e">
        <f ca="1">IF(Averaging="80%",MAX(R23:R31),MAX(R22:R32))</f>
        <v>#NAME?</v>
      </c>
      <c r="S119" s="206">
        <f>IF(Averaging="80%",MAX(S23:S31),MAX(S22:S32))</f>
        <v>1.0426000000000002</v>
      </c>
      <c r="T119" s="206">
        <f>IF(Averaging="80%",MAX(T23:T31),MAX(T22:T32))</f>
        <v>70.307187847683366</v>
      </c>
      <c r="U119" s="311">
        <f>IF(Averaging="80%",MIN(U23:U31),MIN(U22:U32))</f>
        <v>0.85714560495254566</v>
      </c>
      <c r="V119" s="206" t="e">
        <f ca="1">IF(Averaging="80%",MAX(V23:V31),MAX(V22:V32))</f>
        <v>#NAME?</v>
      </c>
      <c r="W119" s="206" t="e">
        <f ca="1">IF(Averaging="80%",MIN(W23:W31),MIN(W22:W32))</f>
        <v>#NAME?</v>
      </c>
      <c r="X119" s="349" t="e">
        <f ca="1">IF(Averaging="80%",MIN(X23:X31),MIN(X22:X32))</f>
        <v>#NAME?</v>
      </c>
    </row>
    <row r="120" spans="4:30" ht="14.5" thickBot="1">
      <c r="D120" s="201">
        <v>6</v>
      </c>
      <c r="E120" s="207" t="e">
        <f t="shared" ref="E120:K120" ca="1" si="77">IF(Averaging="80%",AVERAGE(Q34:Q42),AVERAGE(Q33:Q43))</f>
        <v>#NAME?</v>
      </c>
      <c r="F120" s="207" t="e">
        <f t="shared" ca="1" si="77"/>
        <v>#NAME?</v>
      </c>
      <c r="G120" s="207">
        <f t="shared" si="77"/>
        <v>0.28251278679653674</v>
      </c>
      <c r="H120" s="207">
        <f t="shared" si="77"/>
        <v>34.019121699914642</v>
      </c>
      <c r="I120" s="312">
        <f t="shared" si="77"/>
        <v>0.65485204548733422</v>
      </c>
      <c r="J120" s="207" t="e">
        <f t="shared" ca="1" si="77"/>
        <v>#NAME?</v>
      </c>
      <c r="K120" s="207" t="e">
        <f t="shared" ca="1" si="77"/>
        <v>#NAME?</v>
      </c>
      <c r="L120" s="344" t="e">
        <f ca="1">IF(Averaging="80%",TrueAvg(X34:X42),TrueAvg(X33:X43))</f>
        <v>#NAME?</v>
      </c>
      <c r="P120" s="201">
        <v>6</v>
      </c>
      <c r="Q120" s="207" t="e">
        <f ca="1">IF(Averaging="80%",MIN(Q34:Q42),MIN(Q33:Q43))</f>
        <v>#NAME?</v>
      </c>
      <c r="R120" s="207" t="e">
        <f ca="1">IF(Averaging="80%",MAX(R34:R42),MAX(R33:R43))</f>
        <v>#NAME?</v>
      </c>
      <c r="S120" s="207">
        <f>IF(Averaging="80%",MAX(S34:S42),MAX(S33:S43))</f>
        <v>0.49569999999999936</v>
      </c>
      <c r="T120" s="207">
        <f>IF(Averaging="80%",MAX(T34:T42),MAX(T33:T43))</f>
        <v>112.32302737802651</v>
      </c>
      <c r="U120" s="312">
        <f>IF(Averaging="80%",MIN(U34:U42),MIN(U33:U43))</f>
        <v>0.52587509708559743</v>
      </c>
      <c r="V120" s="207" t="e">
        <f ca="1">IF(Averaging="80%",MAX(V34:V42),MAX(V33:V43))</f>
        <v>#NAME?</v>
      </c>
      <c r="W120" s="207" t="e">
        <f ca="1">IF(Averaging="80%",MIN(W34:W42),MIN(W33:W43))</f>
        <v>#NAME?</v>
      </c>
      <c r="X120" s="344" t="e">
        <f ca="1">IF(Averaging="80%",MIN(X34:X42),MIN(X33:X43))</f>
        <v>#NAME?</v>
      </c>
    </row>
    <row r="121" spans="4:30">
      <c r="AC121" s="500"/>
      <c r="AD121" s="499"/>
    </row>
    <row r="122" spans="4:30" ht="13.5" thickBot="1">
      <c r="V122" s="351"/>
      <c r="W122" s="351"/>
      <c r="AC122" s="500"/>
    </row>
    <row r="123" spans="4:30" ht="16" thickBot="1">
      <c r="D123" s="421"/>
      <c r="E123" s="596" t="s">
        <v>251</v>
      </c>
      <c r="F123" s="597"/>
      <c r="G123" s="597"/>
      <c r="H123" s="598"/>
      <c r="I123" s="599" t="s">
        <v>249</v>
      </c>
      <c r="J123" s="600"/>
      <c r="K123" s="600"/>
      <c r="L123" s="601"/>
      <c r="P123" s="593" t="s">
        <v>250</v>
      </c>
      <c r="Q123" s="594"/>
      <c r="R123" s="594"/>
      <c r="S123" s="594"/>
      <c r="T123" s="594"/>
      <c r="U123" s="594"/>
      <c r="V123" s="594"/>
      <c r="W123" s="594"/>
      <c r="X123" s="595"/>
      <c r="AC123" s="500"/>
    </row>
    <row r="124" spans="4:30" ht="17">
      <c r="D124" s="422" t="s">
        <v>12</v>
      </c>
      <c r="E124" s="462" t="s">
        <v>181</v>
      </c>
      <c r="F124" s="463" t="s">
        <v>246</v>
      </c>
      <c r="G124" s="463" t="s">
        <v>182</v>
      </c>
      <c r="H124" s="464" t="s">
        <v>254</v>
      </c>
      <c r="I124" s="468" t="s">
        <v>255</v>
      </c>
      <c r="J124" s="469" t="s">
        <v>247</v>
      </c>
      <c r="K124" s="469" t="s">
        <v>248</v>
      </c>
      <c r="L124" s="605" t="s">
        <v>252</v>
      </c>
      <c r="P124" s="277" t="s">
        <v>12</v>
      </c>
      <c r="Q124" s="316" t="s">
        <v>3</v>
      </c>
      <c r="R124" s="316" t="s">
        <v>184</v>
      </c>
      <c r="S124" s="317" t="s">
        <v>185</v>
      </c>
      <c r="T124" s="481" t="s">
        <v>184</v>
      </c>
      <c r="U124" s="317" t="s">
        <v>265</v>
      </c>
      <c r="V124" s="318" t="s">
        <v>255</v>
      </c>
      <c r="W124" s="318" t="s">
        <v>268</v>
      </c>
      <c r="X124" s="319" t="s">
        <v>269</v>
      </c>
      <c r="AC124" s="500"/>
    </row>
    <row r="125" spans="4:30" ht="14.5" thickBot="1">
      <c r="D125" s="423" t="s">
        <v>13</v>
      </c>
      <c r="E125" s="465" t="s">
        <v>258</v>
      </c>
      <c r="F125" s="466" t="s">
        <v>180</v>
      </c>
      <c r="G125" s="466" t="s">
        <v>180</v>
      </c>
      <c r="H125" s="467" t="s">
        <v>258</v>
      </c>
      <c r="I125" s="470" t="s">
        <v>27</v>
      </c>
      <c r="J125" s="471" t="s">
        <v>27</v>
      </c>
      <c r="K125" s="471" t="s">
        <v>27</v>
      </c>
      <c r="L125" s="606"/>
      <c r="P125" s="190" t="s">
        <v>13</v>
      </c>
      <c r="Q125" s="320" t="s">
        <v>27</v>
      </c>
      <c r="R125" s="320" t="s">
        <v>114</v>
      </c>
      <c r="S125" s="321" t="s">
        <v>26</v>
      </c>
      <c r="T125" s="482" t="s">
        <v>180</v>
      </c>
      <c r="U125" s="320" t="s">
        <v>264</v>
      </c>
      <c r="V125" s="320" t="s">
        <v>263</v>
      </c>
      <c r="W125" s="320" t="s">
        <v>266</v>
      </c>
      <c r="X125" s="322" t="s">
        <v>267</v>
      </c>
      <c r="AC125" s="500"/>
    </row>
    <row r="126" spans="4:30" ht="14.5" thickTop="1">
      <c r="D126" s="424">
        <v>1</v>
      </c>
      <c r="E126" s="431">
        <v>-3</v>
      </c>
      <c r="F126" s="432" t="e">
        <f t="shared" ref="F126:F131" ca="1" si="78">$E126+P1dB_OIP3_diff-$Q126</f>
        <v>#NAME?</v>
      </c>
      <c r="G126" s="432">
        <f t="shared" ref="G126:G131" si="79">$E126-P1dB_P1pct_diff</f>
        <v>-15</v>
      </c>
      <c r="H126" s="455">
        <v>10</v>
      </c>
      <c r="I126" s="433" t="e">
        <f t="shared" ref="I126:I131" ca="1" si="80">$E126-$T126-P1dB_CW_vs_Noise</f>
        <v>#NAME?</v>
      </c>
      <c r="J126" s="202" t="e">
        <f t="shared" ref="J126:J131" ca="1" si="81">G126-$T126</f>
        <v>#NAME?</v>
      </c>
      <c r="K126" s="434" t="e">
        <f t="shared" ref="K126:K131" ca="1" si="82">F126-($T126-$Q126)</f>
        <v>#NAME?</v>
      </c>
      <c r="L126" s="430" t="s">
        <v>253</v>
      </c>
      <c r="P126" s="197">
        <v>1</v>
      </c>
      <c r="Q126" s="323" t="e">
        <f ca="1">AVERAGE(E11:E21)</f>
        <v>#NAME?</v>
      </c>
      <c r="R126" s="323" t="e">
        <f ca="1">TrueAvg(L11:L21)</f>
        <v>#NAME?</v>
      </c>
      <c r="S126" s="324">
        <f>D21-D11+0.01</f>
        <v>2.2999999999999998</v>
      </c>
      <c r="T126" s="483" t="e">
        <f ca="1">AbsToDb(S126)+R126</f>
        <v>#NAME?</v>
      </c>
      <c r="U126" s="323" t="e">
        <f t="shared" ref="U126:U131" ca="1" si="83">T126+(30-Q126)</f>
        <v>#NAME?</v>
      </c>
      <c r="V126" s="475">
        <v>46</v>
      </c>
      <c r="W126" s="434" t="e">
        <f t="shared" ref="W126:W131" ca="1" si="84">V126+U126+P1dB_CW_vs_Noise</f>
        <v>#NAME?</v>
      </c>
      <c r="X126" s="489" t="e">
        <f ca="1">W126-'Bands 1-2'!AS16</f>
        <v>#NAME?</v>
      </c>
      <c r="AC126" s="500"/>
    </row>
    <row r="127" spans="4:30" ht="14">
      <c r="D127" s="425">
        <v>2</v>
      </c>
      <c r="E127" s="435">
        <v>-10</v>
      </c>
      <c r="F127" s="436" t="e">
        <f t="shared" ca="1" si="78"/>
        <v>#NAME?</v>
      </c>
      <c r="G127" s="436">
        <f t="shared" si="79"/>
        <v>-22</v>
      </c>
      <c r="H127" s="456">
        <v>10</v>
      </c>
      <c r="I127" s="437" t="e">
        <f t="shared" ca="1" si="80"/>
        <v>#NAME?</v>
      </c>
      <c r="J127" s="203" t="e">
        <f t="shared" ca="1" si="81"/>
        <v>#NAME?</v>
      </c>
      <c r="K127" s="438" t="e">
        <f t="shared" ca="1" si="82"/>
        <v>#NAME?</v>
      </c>
      <c r="L127" s="329" t="s">
        <v>256</v>
      </c>
      <c r="P127" s="198">
        <v>2</v>
      </c>
      <c r="Q127" s="325" t="e">
        <f ca="1">AVERAGE(E22:E32)</f>
        <v>#NAME?</v>
      </c>
      <c r="R127" s="325" t="e">
        <f ca="1">TrueAvg(L22:L32)</f>
        <v>#NAME?</v>
      </c>
      <c r="S127" s="326">
        <f>D32-D22+0.02</f>
        <v>8.9</v>
      </c>
      <c r="T127" s="484" t="e">
        <f t="shared" ref="T127:T131" ca="1" si="85">AbsToDb(S127)+R127</f>
        <v>#NAME?</v>
      </c>
      <c r="U127" s="325" t="e">
        <f t="shared" ca="1" si="83"/>
        <v>#NAME?</v>
      </c>
      <c r="V127" s="476">
        <v>41</v>
      </c>
      <c r="W127" s="438" t="e">
        <f t="shared" ca="1" si="84"/>
        <v>#NAME?</v>
      </c>
      <c r="X127" s="490" t="e">
        <f ca="1">W127-'Bands 1-2'!AS32</f>
        <v>#NAME?</v>
      </c>
      <c r="AC127" s="500"/>
    </row>
    <row r="128" spans="4:30" ht="14">
      <c r="D128" s="426">
        <v>3</v>
      </c>
      <c r="E128" s="439">
        <v>-10</v>
      </c>
      <c r="F128" s="440" t="e">
        <f t="shared" ca="1" si="78"/>
        <v>#NAME?</v>
      </c>
      <c r="G128" s="440">
        <f t="shared" si="79"/>
        <v>-22</v>
      </c>
      <c r="H128" s="457">
        <v>10</v>
      </c>
      <c r="I128" s="441" t="e">
        <f t="shared" ca="1" si="80"/>
        <v>#NAME?</v>
      </c>
      <c r="J128" s="204" t="e">
        <f t="shared" ca="1" si="81"/>
        <v>#NAME?</v>
      </c>
      <c r="K128" s="442" t="e">
        <f t="shared" ca="1" si="82"/>
        <v>#NAME?</v>
      </c>
      <c r="L128" s="329" t="s">
        <v>253</v>
      </c>
      <c r="P128" s="193">
        <v>3</v>
      </c>
      <c r="Q128" s="327" t="e">
        <f ca="1">AVERAGE(E33:E43)</f>
        <v>#NAME?</v>
      </c>
      <c r="R128" s="327" t="e">
        <f ca="1">TrueAvg(L33:L43)</f>
        <v>#NAME?</v>
      </c>
      <c r="S128" s="328">
        <f>D43-D33+0.01</f>
        <v>8.1999999999999993</v>
      </c>
      <c r="T128" s="485" t="e">
        <f t="shared" ca="1" si="85"/>
        <v>#NAME?</v>
      </c>
      <c r="U128" s="327" t="e">
        <f t="shared" ca="1" si="83"/>
        <v>#NAME?</v>
      </c>
      <c r="V128" s="477">
        <v>39</v>
      </c>
      <c r="W128" s="442" t="e">
        <f t="shared" ca="1" si="84"/>
        <v>#NAME?</v>
      </c>
      <c r="X128" s="491" t="e">
        <f ca="1">W128-'Bands 3-4'!AS17</f>
        <v>#NAME?</v>
      </c>
      <c r="AC128" s="500"/>
    </row>
    <row r="129" spans="4:29" ht="14">
      <c r="D129" s="427">
        <v>4</v>
      </c>
      <c r="E129" s="443">
        <v>-12</v>
      </c>
      <c r="F129" s="444" t="e">
        <f t="shared" ca="1" si="78"/>
        <v>#NAME?</v>
      </c>
      <c r="G129" s="444">
        <f t="shared" si="79"/>
        <v>-24</v>
      </c>
      <c r="H129" s="458">
        <v>10</v>
      </c>
      <c r="I129" s="445" t="e">
        <f t="shared" ca="1" si="80"/>
        <v>#NAME?</v>
      </c>
      <c r="J129" s="205" t="e">
        <f t="shared" ca="1" si="81"/>
        <v>#NAME?</v>
      </c>
      <c r="K129" s="446" t="e">
        <f t="shared" ca="1" si="82"/>
        <v>#NAME?</v>
      </c>
      <c r="L129" s="329" t="s">
        <v>253</v>
      </c>
      <c r="P129" s="199">
        <v>4</v>
      </c>
      <c r="Q129" s="330" t="e">
        <f ca="1">AVERAGE(Q11:Q21)</f>
        <v>#NAME?</v>
      </c>
      <c r="R129" s="330" t="e">
        <f ca="1">TrueAvg(X11:X21)</f>
        <v>#NAME?</v>
      </c>
      <c r="S129" s="331">
        <f>P21-P11</f>
        <v>13.5</v>
      </c>
      <c r="T129" s="486" t="e">
        <f t="shared" ca="1" si="85"/>
        <v>#NAME?</v>
      </c>
      <c r="U129" s="330" t="e">
        <f t="shared" ca="1" si="83"/>
        <v>#NAME?</v>
      </c>
      <c r="V129" s="478">
        <v>36</v>
      </c>
      <c r="W129" s="446" t="e">
        <f t="shared" ca="1" si="84"/>
        <v>#NAME?</v>
      </c>
      <c r="X129" s="492" t="e">
        <f ca="1">W129-'Bands 3-4'!AS34</f>
        <v>#NAME?</v>
      </c>
      <c r="AC129" s="500"/>
    </row>
    <row r="130" spans="4:29" ht="14">
      <c r="D130" s="428">
        <v>5</v>
      </c>
      <c r="E130" s="447">
        <v>-15</v>
      </c>
      <c r="F130" s="448" t="e">
        <f t="shared" ca="1" si="78"/>
        <v>#NAME?</v>
      </c>
      <c r="G130" s="448">
        <f t="shared" si="79"/>
        <v>-27</v>
      </c>
      <c r="H130" s="459">
        <v>10</v>
      </c>
      <c r="I130" s="449" t="e">
        <f t="shared" ca="1" si="80"/>
        <v>#NAME?</v>
      </c>
      <c r="J130" s="206" t="e">
        <f t="shared" ca="1" si="81"/>
        <v>#NAME?</v>
      </c>
      <c r="K130" s="450" t="e">
        <f t="shared" ca="1" si="82"/>
        <v>#NAME?</v>
      </c>
      <c r="L130" s="329" t="s">
        <v>256</v>
      </c>
      <c r="P130" s="200">
        <v>5</v>
      </c>
      <c r="Q130" s="332" t="e">
        <f ca="1">AVERAGE(Q22:Q32)</f>
        <v>#NAME?</v>
      </c>
      <c r="R130" s="332" t="e">
        <f ca="1">TrueAvg(X22:X32)</f>
        <v>#NAME?</v>
      </c>
      <c r="S130" s="333">
        <f>P32-P22</f>
        <v>20</v>
      </c>
      <c r="T130" s="487" t="e">
        <f t="shared" ca="1" si="85"/>
        <v>#NAME?</v>
      </c>
      <c r="U130" s="332" t="e">
        <f t="shared" ca="1" si="83"/>
        <v>#NAME?</v>
      </c>
      <c r="V130" s="479">
        <v>33</v>
      </c>
      <c r="W130" s="450" t="e">
        <f t="shared" ca="1" si="84"/>
        <v>#NAME?</v>
      </c>
      <c r="X130" s="493" t="e">
        <f ca="1">W130-'Bands 5-6'!E17</f>
        <v>#NAME?</v>
      </c>
      <c r="AC130" s="500"/>
    </row>
    <row r="131" spans="4:29" ht="14.5" thickBot="1">
      <c r="D131" s="429">
        <v>6</v>
      </c>
      <c r="E131" s="451">
        <v>-15</v>
      </c>
      <c r="F131" s="452" t="e">
        <f t="shared" ca="1" si="78"/>
        <v>#NAME?</v>
      </c>
      <c r="G131" s="452">
        <f t="shared" si="79"/>
        <v>-27</v>
      </c>
      <c r="H131" s="460">
        <v>10</v>
      </c>
      <c r="I131" s="453" t="e">
        <f t="shared" ca="1" si="80"/>
        <v>#NAME?</v>
      </c>
      <c r="J131" s="207" t="e">
        <f t="shared" ca="1" si="81"/>
        <v>#NAME?</v>
      </c>
      <c r="K131" s="454" t="e">
        <f t="shared" ca="1" si="82"/>
        <v>#NAME?</v>
      </c>
      <c r="L131" s="461" t="s">
        <v>257</v>
      </c>
      <c r="P131" s="201">
        <v>6</v>
      </c>
      <c r="Q131" s="334" t="e">
        <f ca="1">AVERAGE(Q33:Q43)</f>
        <v>#NAME?</v>
      </c>
      <c r="R131" s="334" t="e">
        <f ca="1">TrueAvg(X33:X43)</f>
        <v>#NAME?</v>
      </c>
      <c r="S131" s="335">
        <f>P43-P33</f>
        <v>46</v>
      </c>
      <c r="T131" s="488" t="e">
        <f t="shared" ca="1" si="85"/>
        <v>#NAME?</v>
      </c>
      <c r="U131" s="334" t="e">
        <f t="shared" ca="1" si="83"/>
        <v>#NAME?</v>
      </c>
      <c r="V131" s="480">
        <v>31</v>
      </c>
      <c r="W131" s="454" t="e">
        <f t="shared" ca="1" si="84"/>
        <v>#NAME?</v>
      </c>
      <c r="X131" s="494" t="e">
        <f ca="1">W131-'Bands 5-6'!E36</f>
        <v>#NAME?</v>
      </c>
      <c r="AC131" s="500"/>
    </row>
    <row r="132" spans="4:29" ht="5.25" customHeight="1">
      <c r="D132" s="472"/>
      <c r="E132" s="473"/>
      <c r="F132" s="473"/>
      <c r="G132" s="473"/>
      <c r="H132" s="473"/>
      <c r="I132" s="473"/>
      <c r="J132" s="473"/>
      <c r="K132" s="473"/>
      <c r="L132" s="474"/>
      <c r="P132" s="472"/>
      <c r="Q132" s="473"/>
      <c r="R132" s="473"/>
      <c r="S132" s="473"/>
      <c r="T132" s="473"/>
      <c r="U132" s="473"/>
      <c r="V132" s="473"/>
      <c r="W132" s="473"/>
      <c r="X132" s="474"/>
    </row>
    <row r="133" spans="4:29">
      <c r="D133" s="602" t="s">
        <v>259</v>
      </c>
      <c r="E133" s="603"/>
      <c r="F133" s="603"/>
      <c r="G133" s="603"/>
      <c r="H133" s="603"/>
      <c r="I133" s="603"/>
      <c r="J133" s="603"/>
      <c r="K133" s="603"/>
      <c r="L133" s="604"/>
      <c r="P133" s="602" t="s">
        <v>270</v>
      </c>
      <c r="Q133" s="603"/>
      <c r="R133" s="603"/>
      <c r="S133" s="603"/>
      <c r="T133" s="603"/>
      <c r="U133" s="603"/>
      <c r="V133" s="603"/>
      <c r="W133" s="603"/>
      <c r="X133" s="604"/>
    </row>
    <row r="134" spans="4:29" ht="25.5" customHeight="1">
      <c r="D134" s="602" t="s">
        <v>260</v>
      </c>
      <c r="E134" s="603"/>
      <c r="F134" s="603"/>
      <c r="G134" s="603"/>
      <c r="H134" s="603"/>
      <c r="I134" s="603"/>
      <c r="J134" s="603"/>
      <c r="K134" s="603"/>
      <c r="L134" s="604"/>
      <c r="P134" s="602" t="s">
        <v>271</v>
      </c>
      <c r="Q134" s="603"/>
      <c r="R134" s="603"/>
      <c r="S134" s="603"/>
      <c r="T134" s="603"/>
      <c r="U134" s="603"/>
      <c r="V134" s="603"/>
      <c r="W134" s="603"/>
      <c r="X134" s="604"/>
    </row>
    <row r="135" spans="4:29" ht="23.25" customHeight="1" thickBot="1">
      <c r="D135" s="609" t="s">
        <v>261</v>
      </c>
      <c r="E135" s="610"/>
      <c r="F135" s="610"/>
      <c r="G135" s="610"/>
      <c r="H135" s="610"/>
      <c r="I135" s="610"/>
      <c r="J135" s="610"/>
      <c r="K135" s="610"/>
      <c r="L135" s="611"/>
      <c r="P135" s="495"/>
      <c r="Q135" s="496"/>
      <c r="R135" s="496"/>
      <c r="S135" s="496"/>
      <c r="T135" s="496"/>
      <c r="U135" s="496"/>
      <c r="V135" s="496"/>
      <c r="W135" s="496"/>
      <c r="X135" s="497"/>
    </row>
  </sheetData>
  <mergeCells count="14">
    <mergeCell ref="AD9:AD10"/>
    <mergeCell ref="AG9:AG10"/>
    <mergeCell ref="D135:L135"/>
    <mergeCell ref="D112:L112"/>
    <mergeCell ref="P112:X112"/>
    <mergeCell ref="P134:X134"/>
    <mergeCell ref="D134:L134"/>
    <mergeCell ref="K2:L2"/>
    <mergeCell ref="P123:X123"/>
    <mergeCell ref="E123:H123"/>
    <mergeCell ref="I123:L123"/>
    <mergeCell ref="P133:X133"/>
    <mergeCell ref="L124:L125"/>
    <mergeCell ref="D133:L133"/>
  </mergeCells>
  <conditionalFormatting sqref="T2">
    <cfRule type="cellIs" dxfId="295" priority="11" operator="equal">
      <formula>0</formula>
    </cfRule>
  </conditionalFormatting>
  <conditionalFormatting sqref="K11:K18 W11:W18 W20:W29 K20:K29 K31:K40 W31:W40 W42:W43 K42:K43">
    <cfRule type="cellIs" dxfId="294" priority="9" operator="lessThan">
      <formula>10</formula>
    </cfRule>
    <cfRule type="cellIs" dxfId="293" priority="10" operator="greaterThanOrEqual">
      <formula>1000</formula>
    </cfRule>
  </conditionalFormatting>
  <conditionalFormatting sqref="K19 W19">
    <cfRule type="cellIs" dxfId="292" priority="7" operator="lessThan">
      <formula>10</formula>
    </cfRule>
    <cfRule type="cellIs" dxfId="291" priority="8" operator="greaterThanOrEqual">
      <formula>1000</formula>
    </cfRule>
  </conditionalFormatting>
  <conditionalFormatting sqref="W30 K30">
    <cfRule type="cellIs" dxfId="290" priority="5" operator="lessThan">
      <formula>10</formula>
    </cfRule>
    <cfRule type="cellIs" dxfId="289" priority="6" operator="greaterThanOrEqual">
      <formula>1000</formula>
    </cfRule>
  </conditionalFormatting>
  <conditionalFormatting sqref="K41 W41">
    <cfRule type="cellIs" dxfId="288" priority="3" operator="lessThan">
      <formula>10</formula>
    </cfRule>
    <cfRule type="cellIs" dxfId="287" priority="4" operator="greaterThanOrEqual">
      <formula>1000</formula>
    </cfRule>
  </conditionalFormatting>
  <conditionalFormatting sqref="U7">
    <cfRule type="cellIs" dxfId="286" priority="1" operator="equal">
      <formula>"No"</formula>
    </cfRule>
    <cfRule type="cellIs" dxfId="285" priority="2" operator="equal">
      <formula>"Yes"</formula>
    </cfRule>
  </conditionalFormatting>
  <dataValidations count="6">
    <dataValidation type="list" allowBlank="1" showInputMessage="1" showErrorMessage="1" sqref="T4:T5" xr:uid="{00000000-0002-0000-0100-000000000000}">
      <formula1>"13, 6, 1"</formula1>
    </dataValidation>
    <dataValidation type="list" allowBlank="1" showInputMessage="1" showErrorMessage="1" sqref="T3" xr:uid="{00000000-0002-0000-0100-000001000000}">
      <formula1>"15,30,45,60,90"</formula1>
    </dataValidation>
    <dataValidation type="list" allowBlank="1" showInputMessage="1" showErrorMessage="1" sqref="T2" xr:uid="{00000000-0002-0000-0100-000002000000}">
      <formula1>"0,160,300"</formula1>
    </dataValidation>
    <dataValidation type="list" allowBlank="1" showInputMessage="1" showErrorMessage="1" sqref="T6" xr:uid="{C9E82BE1-98B8-49F5-A32E-FEED7FA7FDAA}">
      <formula1>"Single, Full"</formula1>
    </dataValidation>
    <dataValidation type="list" allowBlank="1" showInputMessage="1" showErrorMessage="1" sqref="T7" xr:uid="{AAACF883-C8E6-4FEF-936C-85815C22DCEE}">
      <formula1>"Full, 80%"</formula1>
    </dataValidation>
    <dataValidation type="list" allowBlank="1" showInputMessage="1" showErrorMessage="1" sqref="U7" xr:uid="{E5EA4D9C-1007-47CC-BC69-73074CF0B10E}">
      <formula1>"Yes, No"</formula1>
    </dataValidation>
  </dataValidations>
  <printOptions horizontalCentered="1"/>
  <pageMargins left="0.4" right="0.4" top="0.4" bottom="0.4" header="0.3" footer="0.3"/>
  <pageSetup scale="67" fitToHeight="2" orientation="portrait" r:id="rId1"/>
  <rowBreaks count="1" manualBreakCount="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52" r:id="rId4" name="Button 8">
              <controlPr defaultSize="0" print="0" autoFill="0" autoPict="0" macro="[0]!xmlFileGen">
                <anchor moveWithCells="1" sizeWithCells="1">
                  <from>
                    <xdr:col>10</xdr:col>
                    <xdr:colOff>114300</xdr:colOff>
                    <xdr:row>2</xdr:row>
                    <xdr:rowOff>165100</xdr:rowOff>
                  </from>
                  <to>
                    <xdr:col>12</xdr:col>
                    <xdr:colOff>0</xdr:colOff>
                    <xdr:row>4</xdr:row>
                    <xdr:rowOff>107950</xdr:rowOff>
                  </to>
                </anchor>
              </controlPr>
            </control>
          </mc:Choice>
        </mc:AlternateContent>
        <mc:AlternateContent xmlns:mc="http://schemas.openxmlformats.org/markup-compatibility/2006">
          <mc:Choice Requires="x14">
            <control shapeId="6153" r:id="rId5" name="Button 9">
              <controlPr defaultSize="0" print="0" autoFill="0" autoPict="0" macro="[0]!UpdateAll">
                <anchor moveWithCells="1" sizeWithCells="1">
                  <from>
                    <xdr:col>25</xdr:col>
                    <xdr:colOff>165100</xdr:colOff>
                    <xdr:row>1</xdr:row>
                    <xdr:rowOff>133350</xdr:rowOff>
                  </from>
                  <to>
                    <xdr:col>26</xdr:col>
                    <xdr:colOff>393700</xdr:colOff>
                    <xdr:row>3</xdr:row>
                    <xdr:rowOff>69850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1"/>
    <pageSetUpPr fitToPage="1"/>
  </sheetPr>
  <dimension ref="A1:AZ49"/>
  <sheetViews>
    <sheetView zoomScale="80" zoomScaleNormal="80" workbookViewId="0">
      <pane xSplit="4" ySplit="1" topLeftCell="AF2" activePane="bottomRight" state="frozen"/>
      <selection pane="topRight" activeCell="D1" sqref="D1"/>
      <selection pane="bottomLeft" activeCell="A2" sqref="A2"/>
      <selection pane="bottomRight" activeCell="B2" sqref="B2"/>
    </sheetView>
  </sheetViews>
  <sheetFormatPr defaultRowHeight="13"/>
  <cols>
    <col min="1" max="1" width="20.7265625" customWidth="1"/>
    <col min="2" max="4" width="6.7265625" customWidth="1"/>
    <col min="5" max="7" width="7.7265625" style="1" customWidth="1"/>
    <col min="8" max="8" width="10.7265625" style="1" customWidth="1"/>
    <col min="9" max="11" width="7.7265625" style="1" customWidth="1"/>
    <col min="12" max="12" width="11.6328125" style="1" customWidth="1"/>
    <col min="13" max="15" width="7.7265625" style="1" customWidth="1"/>
    <col min="16" max="16" width="9.81640625" style="1" customWidth="1"/>
    <col min="17" max="19" width="7.7265625" style="1" customWidth="1"/>
    <col min="20" max="20" width="10" style="1" customWidth="1"/>
    <col min="21" max="48" width="7.7265625" style="1" customWidth="1"/>
    <col min="49" max="54" width="7.7265625" customWidth="1"/>
  </cols>
  <sheetData>
    <row r="1" spans="1:52" s="46" customFormat="1" ht="18">
      <c r="A1" s="615" t="s">
        <v>65</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7"/>
    </row>
    <row r="2" spans="1:52" s="10" customFormat="1" ht="20.149999999999999" customHeight="1" thickBot="1">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row>
    <row r="3" spans="1:52" s="43" customFormat="1" ht="18.5" thickBot="1">
      <c r="A3" s="59" t="s">
        <v>228</v>
      </c>
      <c r="B3" s="618" t="s">
        <v>158</v>
      </c>
      <c r="C3" s="618" t="s">
        <v>32</v>
      </c>
      <c r="D3" s="618" t="s">
        <v>33</v>
      </c>
      <c r="E3" s="385">
        <v>1</v>
      </c>
      <c r="F3" s="386"/>
      <c r="G3" s="386"/>
      <c r="H3" s="386"/>
      <c r="I3" s="386"/>
      <c r="J3" s="386"/>
      <c r="K3" s="386"/>
      <c r="L3" s="386"/>
      <c r="M3" s="386"/>
      <c r="N3" s="386"/>
      <c r="O3" s="386"/>
      <c r="P3" s="386"/>
      <c r="Q3" s="386"/>
      <c r="R3" s="386"/>
      <c r="S3" s="386"/>
      <c r="T3" s="387"/>
      <c r="U3" s="385"/>
      <c r="V3" s="386"/>
      <c r="W3" s="386"/>
      <c r="X3" s="386"/>
      <c r="Y3" s="386"/>
      <c r="Z3" s="386"/>
      <c r="AA3" s="386"/>
      <c r="AB3" s="386"/>
      <c r="AC3" s="386"/>
      <c r="AD3" s="386"/>
      <c r="AE3" s="386"/>
      <c r="AF3" s="386"/>
      <c r="AG3" s="386"/>
      <c r="AH3" s="386"/>
      <c r="AI3" s="386"/>
      <c r="AJ3" s="387"/>
      <c r="AK3" s="385"/>
      <c r="AL3" s="386"/>
      <c r="AM3" s="386"/>
      <c r="AN3" s="386"/>
      <c r="AO3" s="386"/>
      <c r="AP3" s="386"/>
      <c r="AQ3" s="386"/>
      <c r="AR3" s="386"/>
      <c r="AS3" s="386"/>
      <c r="AT3" s="386"/>
      <c r="AU3" s="386"/>
      <c r="AV3" s="387"/>
      <c r="AW3" s="403"/>
      <c r="AX3" s="403"/>
      <c r="AY3" s="403"/>
      <c r="AZ3" s="403"/>
    </row>
    <row r="4" spans="1:52" s="44" customFormat="1" ht="18.5" thickBot="1">
      <c r="A4" s="70" t="s">
        <v>7</v>
      </c>
      <c r="B4" s="619"/>
      <c r="C4" s="619"/>
      <c r="D4" s="619"/>
      <c r="E4" s="612">
        <f>fLO_Band1</f>
        <v>1.2</v>
      </c>
      <c r="F4" s="613"/>
      <c r="G4" s="613"/>
      <c r="H4" s="614"/>
      <c r="I4" s="612">
        <v>1.32</v>
      </c>
      <c r="J4" s="613"/>
      <c r="K4" s="613"/>
      <c r="L4" s="614"/>
      <c r="M4" s="612">
        <v>1.49</v>
      </c>
      <c r="N4" s="613"/>
      <c r="O4" s="613"/>
      <c r="P4" s="614"/>
      <c r="Q4" s="612">
        <v>1.65</v>
      </c>
      <c r="R4" s="613"/>
      <c r="S4" s="613"/>
      <c r="T4" s="614"/>
      <c r="U4" s="612">
        <v>1.84</v>
      </c>
      <c r="V4" s="613"/>
      <c r="W4" s="613"/>
      <c r="X4" s="614"/>
      <c r="Y4" s="612">
        <v>2.0499999999999998</v>
      </c>
      <c r="Z4" s="613"/>
      <c r="AA4" s="613"/>
      <c r="AB4" s="614"/>
      <c r="AC4" s="612">
        <v>2.2799999999999998</v>
      </c>
      <c r="AD4" s="613"/>
      <c r="AE4" s="613"/>
      <c r="AF4" s="614"/>
      <c r="AG4" s="612">
        <v>2.54</v>
      </c>
      <c r="AH4" s="613"/>
      <c r="AI4" s="613"/>
      <c r="AJ4" s="614"/>
      <c r="AK4" s="612">
        <v>2.83</v>
      </c>
      <c r="AL4" s="613"/>
      <c r="AM4" s="613"/>
      <c r="AN4" s="614"/>
      <c r="AO4" s="612">
        <v>3.16</v>
      </c>
      <c r="AP4" s="613"/>
      <c r="AQ4" s="613"/>
      <c r="AR4" s="614"/>
      <c r="AS4" s="612">
        <f>fHI_Band1-Delta_F</f>
        <v>3.49</v>
      </c>
      <c r="AT4" s="613"/>
      <c r="AU4" s="613"/>
      <c r="AV4" s="614"/>
      <c r="AW4" s="404"/>
      <c r="AX4" s="404"/>
      <c r="AY4" s="404"/>
      <c r="AZ4" s="404"/>
    </row>
    <row r="5" spans="1:52" s="11" customFormat="1" ht="16.5" thickTop="1" thickBot="1">
      <c r="A5" s="60" t="s">
        <v>20</v>
      </c>
      <c r="B5" s="99" t="s">
        <v>13</v>
      </c>
      <c r="C5" s="99" t="s">
        <v>29</v>
      </c>
      <c r="D5" s="99" t="s">
        <v>30</v>
      </c>
      <c r="E5" s="56" t="s">
        <v>22</v>
      </c>
      <c r="F5" s="45" t="s">
        <v>21</v>
      </c>
      <c r="G5" s="67" t="s">
        <v>24</v>
      </c>
      <c r="H5" s="64" t="s">
        <v>25</v>
      </c>
      <c r="I5" s="56" t="s">
        <v>22</v>
      </c>
      <c r="J5" s="45" t="s">
        <v>21</v>
      </c>
      <c r="K5" s="67" t="s">
        <v>24</v>
      </c>
      <c r="L5" s="64" t="s">
        <v>25</v>
      </c>
      <c r="M5" s="56" t="s">
        <v>22</v>
      </c>
      <c r="N5" s="45" t="s">
        <v>21</v>
      </c>
      <c r="O5" s="67" t="s">
        <v>24</v>
      </c>
      <c r="P5" s="64" t="s">
        <v>25</v>
      </c>
      <c r="Q5" s="56" t="s">
        <v>22</v>
      </c>
      <c r="R5" s="45" t="s">
        <v>21</v>
      </c>
      <c r="S5" s="67" t="s">
        <v>24</v>
      </c>
      <c r="T5" s="64" t="s">
        <v>25</v>
      </c>
      <c r="U5" s="56" t="s">
        <v>22</v>
      </c>
      <c r="V5" s="45" t="s">
        <v>21</v>
      </c>
      <c r="W5" s="67" t="s">
        <v>24</v>
      </c>
      <c r="X5" s="64" t="s">
        <v>25</v>
      </c>
      <c r="Y5" s="56" t="s">
        <v>22</v>
      </c>
      <c r="Z5" s="45" t="s">
        <v>21</v>
      </c>
      <c r="AA5" s="67" t="s">
        <v>24</v>
      </c>
      <c r="AB5" s="64" t="s">
        <v>25</v>
      </c>
      <c r="AC5" s="56" t="s">
        <v>22</v>
      </c>
      <c r="AD5" s="45" t="s">
        <v>21</v>
      </c>
      <c r="AE5" s="67" t="s">
        <v>24</v>
      </c>
      <c r="AF5" s="64" t="s">
        <v>25</v>
      </c>
      <c r="AG5" s="56" t="s">
        <v>22</v>
      </c>
      <c r="AH5" s="45" t="s">
        <v>21</v>
      </c>
      <c r="AI5" s="67" t="s">
        <v>24</v>
      </c>
      <c r="AJ5" s="64" t="s">
        <v>25</v>
      </c>
      <c r="AK5" s="56" t="s">
        <v>22</v>
      </c>
      <c r="AL5" s="45" t="s">
        <v>21</v>
      </c>
      <c r="AM5" s="67" t="s">
        <v>24</v>
      </c>
      <c r="AN5" s="64" t="s">
        <v>25</v>
      </c>
      <c r="AO5" s="56" t="s">
        <v>22</v>
      </c>
      <c r="AP5" s="45" t="s">
        <v>21</v>
      </c>
      <c r="AQ5" s="67" t="s">
        <v>24</v>
      </c>
      <c r="AR5" s="64" t="s">
        <v>25</v>
      </c>
      <c r="AS5" s="56" t="s">
        <v>22</v>
      </c>
      <c r="AT5" s="45" t="s">
        <v>21</v>
      </c>
      <c r="AU5" s="67" t="s">
        <v>24</v>
      </c>
      <c r="AV5" s="64" t="s">
        <v>25</v>
      </c>
      <c r="AW5" s="405"/>
      <c r="AX5" s="405"/>
      <c r="AY5" s="405"/>
      <c r="AZ5" s="405"/>
    </row>
    <row r="6" spans="1:52" s="10" customFormat="1" ht="16" thickTop="1">
      <c r="A6" s="77" t="s">
        <v>19</v>
      </c>
      <c r="B6" s="101">
        <v>1</v>
      </c>
      <c r="C6" s="101">
        <f t="shared" ref="C6:C16" si="0">INDEX(Stage_Temp_Table,$B6)</f>
        <v>20</v>
      </c>
      <c r="D6" s="101"/>
      <c r="E6" s="82">
        <v>0</v>
      </c>
      <c r="F6" s="79">
        <v>0</v>
      </c>
      <c r="G6" s="80">
        <v>0</v>
      </c>
      <c r="H6" s="81">
        <v>0</v>
      </c>
      <c r="I6" s="82">
        <v>0</v>
      </c>
      <c r="J6" s="79">
        <v>0</v>
      </c>
      <c r="K6" s="80">
        <v>0</v>
      </c>
      <c r="L6" s="81">
        <v>0</v>
      </c>
      <c r="M6" s="82">
        <v>0</v>
      </c>
      <c r="N6" s="79">
        <v>0</v>
      </c>
      <c r="O6" s="80">
        <v>0</v>
      </c>
      <c r="P6" s="81">
        <v>0</v>
      </c>
      <c r="Q6" s="82">
        <v>0</v>
      </c>
      <c r="R6" s="79">
        <v>0</v>
      </c>
      <c r="S6" s="80">
        <v>0</v>
      </c>
      <c r="T6" s="81">
        <v>0</v>
      </c>
      <c r="U6" s="82">
        <v>0</v>
      </c>
      <c r="V6" s="79">
        <v>0</v>
      </c>
      <c r="W6" s="80">
        <v>0</v>
      </c>
      <c r="X6" s="81">
        <v>0</v>
      </c>
      <c r="Y6" s="82">
        <v>0</v>
      </c>
      <c r="Z6" s="79">
        <v>0</v>
      </c>
      <c r="AA6" s="80">
        <v>0</v>
      </c>
      <c r="AB6" s="81">
        <v>0</v>
      </c>
      <c r="AC6" s="82">
        <v>0</v>
      </c>
      <c r="AD6" s="79">
        <v>0</v>
      </c>
      <c r="AE6" s="80">
        <v>0</v>
      </c>
      <c r="AF6" s="81">
        <v>0</v>
      </c>
      <c r="AG6" s="82">
        <v>0</v>
      </c>
      <c r="AH6" s="79">
        <v>0</v>
      </c>
      <c r="AI6" s="80">
        <v>0</v>
      </c>
      <c r="AJ6" s="81">
        <v>0</v>
      </c>
      <c r="AK6" s="82">
        <v>0</v>
      </c>
      <c r="AL6" s="79">
        <v>0</v>
      </c>
      <c r="AM6" s="80">
        <v>0</v>
      </c>
      <c r="AN6" s="81">
        <v>0</v>
      </c>
      <c r="AO6" s="82">
        <v>0</v>
      </c>
      <c r="AP6" s="79">
        <v>0</v>
      </c>
      <c r="AQ6" s="80">
        <v>0</v>
      </c>
      <c r="AR6" s="81">
        <v>0</v>
      </c>
      <c r="AS6" s="82">
        <v>0</v>
      </c>
      <c r="AT6" s="79">
        <v>0</v>
      </c>
      <c r="AU6" s="80">
        <v>0</v>
      </c>
      <c r="AV6" s="81">
        <v>0</v>
      </c>
      <c r="AW6" s="406"/>
      <c r="AX6" s="406"/>
      <c r="AY6" s="406"/>
      <c r="AZ6" s="406"/>
    </row>
    <row r="7" spans="1:52" s="10" customFormat="1" ht="15.5">
      <c r="A7" s="73" t="s">
        <v>5</v>
      </c>
      <c r="B7" s="102">
        <v>5</v>
      </c>
      <c r="C7" s="102">
        <f t="shared" si="0"/>
        <v>300</v>
      </c>
      <c r="D7" s="103"/>
      <c r="E7" s="72">
        <f>G_Lookup($A7,$E$3, E$4,$D7)</f>
        <v>-0.02</v>
      </c>
      <c r="F7" s="557">
        <f>Atten_to_Te(E7,$C7)</f>
        <v>1.3847370835185613</v>
      </c>
      <c r="G7" s="74">
        <f ca="1">E7+OFFSET(G7,-1,0)</f>
        <v>-0.02</v>
      </c>
      <c r="H7" s="75" t="e">
        <f ca="1">OFFSET(H7,-1,0)+F7*dbToAbs(-1*OFFSET(G7,-1,0))</f>
        <v>#NAME?</v>
      </c>
      <c r="I7" s="72">
        <f>G_Lookup($A7,$E$3, I$4,$D7)</f>
        <v>-0.02</v>
      </c>
      <c r="J7" s="557">
        <f>Atten_to_Te(I7,$C7)</f>
        <v>1.3847370835185613</v>
      </c>
      <c r="K7" s="74">
        <f ca="1">I7+OFFSET(K7,-1,0)</f>
        <v>-0.02</v>
      </c>
      <c r="L7" s="75" t="e">
        <f ca="1">OFFSET(L7,-1,0)+J7*dbToAbs(-1*OFFSET(K7,-1,0))</f>
        <v>#NAME?</v>
      </c>
      <c r="M7" s="72">
        <f>G_Lookup($A7,$E$3, M$4,$D7)</f>
        <v>-0.02</v>
      </c>
      <c r="N7" s="557">
        <f>Atten_to_Te(M7,$C7)</f>
        <v>1.3847370835185613</v>
      </c>
      <c r="O7" s="74">
        <f ca="1">M7+OFFSET(O7,-1,0)</f>
        <v>-0.02</v>
      </c>
      <c r="P7" s="75" t="e">
        <f ca="1">OFFSET(P7,-1,0)+N7*dbToAbs(-1*OFFSET(O7,-1,0))</f>
        <v>#NAME?</v>
      </c>
      <c r="Q7" s="72">
        <f>G_Lookup($A7,$E$3, Q$4,$D7)</f>
        <v>-0.02</v>
      </c>
      <c r="R7" s="557">
        <f>Atten_to_Te(Q7,$C7)</f>
        <v>1.3847370835185613</v>
      </c>
      <c r="S7" s="74">
        <f ca="1">Q7+OFFSET(S7,-1,0)</f>
        <v>-0.02</v>
      </c>
      <c r="T7" s="75" t="e">
        <f ca="1">OFFSET(T7,-1,0)+R7*dbToAbs(-1*OFFSET(S7,-1,0))</f>
        <v>#NAME?</v>
      </c>
      <c r="U7" s="72">
        <f>G_Lookup($A7,$E$3, U$4,$D7)</f>
        <v>-0.02</v>
      </c>
      <c r="V7" s="557">
        <f>Atten_to_Te(U7,$C7)</f>
        <v>1.3847370835185613</v>
      </c>
      <c r="W7" s="74">
        <f ca="1">U7+OFFSET(W7,-1,0)</f>
        <v>-0.02</v>
      </c>
      <c r="X7" s="75" t="e">
        <f ca="1">OFFSET(X7,-1,0)+V7*dbToAbs(-1*OFFSET(W7,-1,0))</f>
        <v>#NAME?</v>
      </c>
      <c r="Y7" s="72">
        <f>G_Lookup($A7,$E$3, Y$4,$D7)</f>
        <v>-0.02</v>
      </c>
      <c r="Z7" s="557">
        <f>Atten_to_Te(Y7,$C7)</f>
        <v>1.3847370835185613</v>
      </c>
      <c r="AA7" s="74">
        <f ca="1">Y7+OFFSET(AA7,-1,0)</f>
        <v>-0.02</v>
      </c>
      <c r="AB7" s="75" t="e">
        <f ca="1">OFFSET(AB7,-1,0)+Z7*dbToAbs(-1*OFFSET(AA7,-1,0))</f>
        <v>#NAME?</v>
      </c>
      <c r="AC7" s="72">
        <f>G_Lookup($A7,$E$3, AC$4,$D7)</f>
        <v>-0.02</v>
      </c>
      <c r="AD7" s="557">
        <f>Atten_to_Te(AC7,$C7)</f>
        <v>1.3847370835185613</v>
      </c>
      <c r="AE7" s="74">
        <f ca="1">AC7+OFFSET(AE7,-1,0)</f>
        <v>-0.02</v>
      </c>
      <c r="AF7" s="75" t="e">
        <f ca="1">OFFSET(AF7,-1,0)+AD7*dbToAbs(-1*OFFSET(AE7,-1,0))</f>
        <v>#NAME?</v>
      </c>
      <c r="AG7" s="72">
        <f>G_Lookup($A7,$E$3, AG$4,$D7)</f>
        <v>-0.02</v>
      </c>
      <c r="AH7" s="557">
        <f>Atten_to_Te(AG7,$C7)</f>
        <v>1.3847370835185613</v>
      </c>
      <c r="AI7" s="74">
        <f ca="1">AG7+OFFSET(AI7,-1,0)</f>
        <v>-0.02</v>
      </c>
      <c r="AJ7" s="75" t="e">
        <f ca="1">OFFSET(AJ7,-1,0)+AH7*dbToAbs(-1*OFFSET(AI7,-1,0))</f>
        <v>#NAME?</v>
      </c>
      <c r="AK7" s="72">
        <f>G_Lookup($A7,$E$3, AK$4,$D7)</f>
        <v>-0.02</v>
      </c>
      <c r="AL7" s="557">
        <f>Atten_to_Te(AK7,$C7)</f>
        <v>1.3847370835185613</v>
      </c>
      <c r="AM7" s="74">
        <f ca="1">AK7+OFFSET(AM7,-1,0)</f>
        <v>-0.02</v>
      </c>
      <c r="AN7" s="75" t="e">
        <f ca="1">OFFSET(AN7,-1,0)+AL7*dbToAbs(-1*OFFSET(AM7,-1,0))</f>
        <v>#NAME?</v>
      </c>
      <c r="AO7" s="72">
        <f>G_Lookup($A7,$E$3, AO$4,$D7)</f>
        <v>-0.02</v>
      </c>
      <c r="AP7" s="557">
        <f>Atten_to_Te(AO7,$C7)</f>
        <v>1.3847370835185613</v>
      </c>
      <c r="AQ7" s="74">
        <f ca="1">AO7+OFFSET(AQ7,-1,0)</f>
        <v>-0.02</v>
      </c>
      <c r="AR7" s="75" t="e">
        <f ca="1">OFFSET(AR7,-1,0)+AP7*dbToAbs(-1*OFFSET(AQ7,-1,0))</f>
        <v>#NAME?</v>
      </c>
      <c r="AS7" s="72">
        <f>G_Lookup($A7,$E$3, AS$4,$D7)</f>
        <v>-0.02</v>
      </c>
      <c r="AT7" s="557">
        <f>Atten_to_Te(AS7,$C7)</f>
        <v>1.3847370835185613</v>
      </c>
      <c r="AU7" s="74">
        <f ca="1">AS7+OFFSET(AU7,-1,0)</f>
        <v>-0.02</v>
      </c>
      <c r="AV7" s="75" t="e">
        <f ca="1">OFFSET(AV7,-1,0)+AT7*dbToAbs(-1*OFFSET(AU7,-1,0))</f>
        <v>#NAME?</v>
      </c>
      <c r="AW7" s="406"/>
      <c r="AX7" s="406"/>
      <c r="AY7" s="406"/>
      <c r="AZ7" s="406"/>
    </row>
    <row r="8" spans="1:52" s="10" customFormat="1" ht="15.5">
      <c r="A8" s="61" t="s">
        <v>6</v>
      </c>
      <c r="B8" s="98">
        <v>5</v>
      </c>
      <c r="C8" s="102">
        <f t="shared" si="0"/>
        <v>300</v>
      </c>
      <c r="D8" s="96"/>
      <c r="E8" s="72">
        <f t="shared" ref="E8:E16" si="1">G_Lookup($A8,$E$3, E$4,$D8)</f>
        <v>-0.02</v>
      </c>
      <c r="F8" s="19">
        <f t="shared" ref="F8:F16" si="2">Atten_to_Te(E8,$C8)</f>
        <v>1.3847370835185613</v>
      </c>
      <c r="G8" s="68">
        <f t="shared" ref="G8:G16" ca="1" si="3">E8+OFFSET(G8,-1,0)</f>
        <v>-0.04</v>
      </c>
      <c r="H8" s="65" t="e">
        <f ca="1">OFFSET(H8,-1,0)+F8*dbToAbs(-1*OFFSET(G8,-1,0))</f>
        <v>#NAME?</v>
      </c>
      <c r="I8" s="72">
        <f t="shared" ref="I8:I12" si="4">G_Lookup($A8,$E$3, I$4,$D8)</f>
        <v>-0.02</v>
      </c>
      <c r="J8" s="19">
        <f t="shared" ref="J8:J12" si="5">Atten_to_Te(I8,$C8)</f>
        <v>1.3847370835185613</v>
      </c>
      <c r="K8" s="68">
        <f t="shared" ref="K8:K16" ca="1" si="6">I8+OFFSET(K8,-1,0)</f>
        <v>-0.04</v>
      </c>
      <c r="L8" s="65" t="e">
        <f t="shared" ref="L8:L16" ca="1" si="7">OFFSET(L8,-1,0)+J8*dbToAbs(-1*OFFSET(K8,-1,0))</f>
        <v>#NAME?</v>
      </c>
      <c r="M8" s="72">
        <f t="shared" ref="M8:M12" si="8">G_Lookup($A8,$E$3, M$4,$D8)</f>
        <v>-0.02</v>
      </c>
      <c r="N8" s="19">
        <f t="shared" ref="N8:N12" si="9">Atten_to_Te(M8,$C8)</f>
        <v>1.3847370835185613</v>
      </c>
      <c r="O8" s="68">
        <f t="shared" ref="O8:O16" ca="1" si="10">M8+OFFSET(O8,-1,0)</f>
        <v>-0.04</v>
      </c>
      <c r="P8" s="65" t="e">
        <f t="shared" ref="P8:P16" ca="1" si="11">OFFSET(P8,-1,0)+N8*dbToAbs(-1*OFFSET(O8,-1,0))</f>
        <v>#NAME?</v>
      </c>
      <c r="Q8" s="72">
        <f t="shared" ref="Q8:Q12" si="12">G_Lookup($A8,$E$3, Q$4,$D8)</f>
        <v>-0.02</v>
      </c>
      <c r="R8" s="19">
        <f t="shared" ref="R8:R12" si="13">Atten_to_Te(Q8,$C8)</f>
        <v>1.3847370835185613</v>
      </c>
      <c r="S8" s="68">
        <f t="shared" ref="S8:S16" ca="1" si="14">Q8+OFFSET(S8,-1,0)</f>
        <v>-0.04</v>
      </c>
      <c r="T8" s="65" t="e">
        <f t="shared" ref="T8:T16" ca="1" si="15">OFFSET(T8,-1,0)+R8*dbToAbs(-1*OFFSET(S8,-1,0))</f>
        <v>#NAME?</v>
      </c>
      <c r="U8" s="72">
        <f t="shared" ref="U8:U12" si="16">G_Lookup($A8,$E$3, U$4,$D8)</f>
        <v>-0.02</v>
      </c>
      <c r="V8" s="19">
        <f t="shared" ref="V8:V12" si="17">Atten_to_Te(U8,$C8)</f>
        <v>1.3847370835185613</v>
      </c>
      <c r="W8" s="68">
        <f t="shared" ref="W8:W16" ca="1" si="18">U8+OFFSET(W8,-1,0)</f>
        <v>-0.04</v>
      </c>
      <c r="X8" s="65" t="e">
        <f t="shared" ref="X8:X16" ca="1" si="19">OFFSET(X8,-1,0)+V8*dbToAbs(-1*OFFSET(W8,-1,0))</f>
        <v>#NAME?</v>
      </c>
      <c r="Y8" s="72">
        <f t="shared" ref="Y8:Y12" si="20">G_Lookup($A8,$E$3, Y$4,$D8)</f>
        <v>-0.02</v>
      </c>
      <c r="Z8" s="19">
        <f t="shared" ref="Z8:Z12" si="21">Atten_to_Te(Y8,$C8)</f>
        <v>1.3847370835185613</v>
      </c>
      <c r="AA8" s="68">
        <f t="shared" ref="AA8:AA16" ca="1" si="22">Y8+OFFSET(AA8,-1,0)</f>
        <v>-0.04</v>
      </c>
      <c r="AB8" s="65" t="e">
        <f t="shared" ref="AB8:AB16" ca="1" si="23">OFFSET(AB8,-1,0)+Z8*dbToAbs(-1*OFFSET(AA8,-1,0))</f>
        <v>#NAME?</v>
      </c>
      <c r="AC8" s="72">
        <f t="shared" ref="AC8:AC12" si="24">G_Lookup($A8,$E$3, AC$4,$D8)</f>
        <v>-0.02</v>
      </c>
      <c r="AD8" s="19">
        <f t="shared" ref="AD8:AD12" si="25">Atten_to_Te(AC8,$C8)</f>
        <v>1.3847370835185613</v>
      </c>
      <c r="AE8" s="68">
        <f t="shared" ref="AE8:AE16" ca="1" si="26">AC8+OFFSET(AE8,-1,0)</f>
        <v>-0.04</v>
      </c>
      <c r="AF8" s="65" t="e">
        <f t="shared" ref="AF8:AF16" ca="1" si="27">OFFSET(AF8,-1,0)+AD8*dbToAbs(-1*OFFSET(AE8,-1,0))</f>
        <v>#NAME?</v>
      </c>
      <c r="AG8" s="72">
        <f t="shared" ref="AG8:AG12" si="28">G_Lookup($A8,$E$3, AG$4,$D8)</f>
        <v>-0.02</v>
      </c>
      <c r="AH8" s="19">
        <f t="shared" ref="AH8:AH12" si="29">Atten_to_Te(AG8,$C8)</f>
        <v>1.3847370835185613</v>
      </c>
      <c r="AI8" s="68">
        <f t="shared" ref="AI8:AI16" ca="1" si="30">AG8+OFFSET(AI8,-1,0)</f>
        <v>-0.04</v>
      </c>
      <c r="AJ8" s="65" t="e">
        <f t="shared" ref="AJ8:AJ16" ca="1" si="31">OFFSET(AJ8,-1,0)+AH8*dbToAbs(-1*OFFSET(AI8,-1,0))</f>
        <v>#NAME?</v>
      </c>
      <c r="AK8" s="72">
        <f t="shared" ref="AK8:AK12" si="32">G_Lookup($A8,$E$3, AK$4,$D8)</f>
        <v>-0.02</v>
      </c>
      <c r="AL8" s="19">
        <f t="shared" ref="AL8:AL12" si="33">Atten_to_Te(AK8,$C8)</f>
        <v>1.3847370835185613</v>
      </c>
      <c r="AM8" s="68">
        <f t="shared" ref="AM8:AM16" ca="1" si="34">AK8+OFFSET(AM8,-1,0)</f>
        <v>-0.04</v>
      </c>
      <c r="AN8" s="65" t="e">
        <f t="shared" ref="AN8:AN16" ca="1" si="35">OFFSET(AN8,-1,0)+AL8*dbToAbs(-1*OFFSET(AM8,-1,0))</f>
        <v>#NAME?</v>
      </c>
      <c r="AO8" s="72">
        <f t="shared" ref="AO8:AO12" si="36">G_Lookup($A8,$E$3, AO$4,$D8)</f>
        <v>-0.02</v>
      </c>
      <c r="AP8" s="19">
        <f t="shared" ref="AP8:AP12" si="37">Atten_to_Te(AO8,$C8)</f>
        <v>1.3847370835185613</v>
      </c>
      <c r="AQ8" s="68">
        <f t="shared" ref="AQ8:AQ16" ca="1" si="38">AO8+OFFSET(AQ8,-1,0)</f>
        <v>-0.04</v>
      </c>
      <c r="AR8" s="65" t="e">
        <f t="shared" ref="AR8:AR16" ca="1" si="39">OFFSET(AR8,-1,0)+AP8*dbToAbs(-1*OFFSET(AQ8,-1,0))</f>
        <v>#NAME?</v>
      </c>
      <c r="AS8" s="72">
        <f t="shared" ref="AS8:AS12" si="40">G_Lookup($A8,$E$3, AS$4,$D8)</f>
        <v>-0.02</v>
      </c>
      <c r="AT8" s="19">
        <f t="shared" ref="AT8:AT12" si="41">Atten_to_Te(AS8,$C8)</f>
        <v>1.3847370835185613</v>
      </c>
      <c r="AU8" s="68">
        <f t="shared" ref="AU8:AU16" ca="1" si="42">AS8+OFFSET(AU8,-1,0)</f>
        <v>-0.04</v>
      </c>
      <c r="AV8" s="65" t="e">
        <f t="shared" ref="AV8:AV16" ca="1" si="43">OFFSET(AV8,-1,0)+AT8*dbToAbs(-1*OFFSET(AU8,-1,0))</f>
        <v>#NAME?</v>
      </c>
      <c r="AW8" s="406"/>
      <c r="AX8" s="406"/>
      <c r="AY8" s="406"/>
      <c r="AZ8" s="406"/>
    </row>
    <row r="9" spans="1:52" s="10" customFormat="1" ht="15.5">
      <c r="A9" s="61" t="s">
        <v>8</v>
      </c>
      <c r="B9" s="98">
        <v>4</v>
      </c>
      <c r="C9" s="102">
        <f t="shared" si="0"/>
        <v>190</v>
      </c>
      <c r="D9" s="96"/>
      <c r="E9" s="72">
        <f>G_Lookup($A9,$E$3, E$4,$D9)</f>
        <v>-0.02</v>
      </c>
      <c r="F9" s="19">
        <f t="shared" si="2"/>
        <v>0.87700015289508881</v>
      </c>
      <c r="G9" s="68">
        <f t="shared" ca="1" si="3"/>
        <v>-0.06</v>
      </c>
      <c r="H9" s="65" t="e">
        <f t="shared" ref="H9:H16" ca="1" si="44">OFFSET(H9,-1,0)+F9*dbToAbs(-1*OFFSET(G9,-1,0))</f>
        <v>#NAME?</v>
      </c>
      <c r="I9" s="72">
        <f t="shared" si="4"/>
        <v>-0.02</v>
      </c>
      <c r="J9" s="19">
        <f t="shared" si="5"/>
        <v>0.87700015289508881</v>
      </c>
      <c r="K9" s="68">
        <f t="shared" ca="1" si="6"/>
        <v>-0.06</v>
      </c>
      <c r="L9" s="65" t="e">
        <f t="shared" ca="1" si="7"/>
        <v>#NAME?</v>
      </c>
      <c r="M9" s="72">
        <f t="shared" si="8"/>
        <v>-0.02</v>
      </c>
      <c r="N9" s="19">
        <f t="shared" si="9"/>
        <v>0.87700015289508881</v>
      </c>
      <c r="O9" s="68">
        <f t="shared" ca="1" si="10"/>
        <v>-0.06</v>
      </c>
      <c r="P9" s="65" t="e">
        <f t="shared" ca="1" si="11"/>
        <v>#NAME?</v>
      </c>
      <c r="Q9" s="72">
        <f t="shared" si="12"/>
        <v>-0.02</v>
      </c>
      <c r="R9" s="19">
        <f t="shared" si="13"/>
        <v>0.87700015289508881</v>
      </c>
      <c r="S9" s="68">
        <f t="shared" ca="1" si="14"/>
        <v>-0.06</v>
      </c>
      <c r="T9" s="65" t="e">
        <f t="shared" ca="1" si="15"/>
        <v>#NAME?</v>
      </c>
      <c r="U9" s="72">
        <f t="shared" si="16"/>
        <v>-0.02</v>
      </c>
      <c r="V9" s="19">
        <f t="shared" si="17"/>
        <v>0.87700015289508881</v>
      </c>
      <c r="W9" s="68">
        <f t="shared" ca="1" si="18"/>
        <v>-0.06</v>
      </c>
      <c r="X9" s="65" t="e">
        <f t="shared" ca="1" si="19"/>
        <v>#NAME?</v>
      </c>
      <c r="Y9" s="72">
        <f t="shared" si="20"/>
        <v>-0.02</v>
      </c>
      <c r="Z9" s="19">
        <f t="shared" si="21"/>
        <v>0.87700015289508881</v>
      </c>
      <c r="AA9" s="68">
        <f t="shared" ca="1" si="22"/>
        <v>-0.06</v>
      </c>
      <c r="AB9" s="65" t="e">
        <f t="shared" ca="1" si="23"/>
        <v>#NAME?</v>
      </c>
      <c r="AC9" s="72">
        <f t="shared" si="24"/>
        <v>-0.02</v>
      </c>
      <c r="AD9" s="19">
        <f t="shared" si="25"/>
        <v>0.87700015289508881</v>
      </c>
      <c r="AE9" s="68">
        <f t="shared" ca="1" si="26"/>
        <v>-0.06</v>
      </c>
      <c r="AF9" s="65" t="e">
        <f t="shared" ca="1" si="27"/>
        <v>#NAME?</v>
      </c>
      <c r="AG9" s="72">
        <f t="shared" si="28"/>
        <v>-0.02</v>
      </c>
      <c r="AH9" s="19">
        <f t="shared" si="29"/>
        <v>0.87700015289508881</v>
      </c>
      <c r="AI9" s="68">
        <f t="shared" ca="1" si="30"/>
        <v>-0.06</v>
      </c>
      <c r="AJ9" s="65" t="e">
        <f t="shared" ca="1" si="31"/>
        <v>#NAME?</v>
      </c>
      <c r="AK9" s="72">
        <f t="shared" si="32"/>
        <v>-0.02</v>
      </c>
      <c r="AL9" s="19">
        <f t="shared" si="33"/>
        <v>0.87700015289508881</v>
      </c>
      <c r="AM9" s="68">
        <f t="shared" ca="1" si="34"/>
        <v>-0.06</v>
      </c>
      <c r="AN9" s="65" t="e">
        <f t="shared" ca="1" si="35"/>
        <v>#NAME?</v>
      </c>
      <c r="AO9" s="72">
        <f t="shared" si="36"/>
        <v>-0.02</v>
      </c>
      <c r="AP9" s="19">
        <f t="shared" si="37"/>
        <v>0.87700015289508881</v>
      </c>
      <c r="AQ9" s="68">
        <f t="shared" ca="1" si="38"/>
        <v>-0.06</v>
      </c>
      <c r="AR9" s="65" t="e">
        <f t="shared" ca="1" si="39"/>
        <v>#NAME?</v>
      </c>
      <c r="AS9" s="72">
        <f t="shared" si="40"/>
        <v>-0.02</v>
      </c>
      <c r="AT9" s="19">
        <f t="shared" si="41"/>
        <v>0.87700015289508881</v>
      </c>
      <c r="AU9" s="68">
        <f t="shared" ca="1" si="42"/>
        <v>-0.06</v>
      </c>
      <c r="AV9" s="65" t="e">
        <f t="shared" ca="1" si="43"/>
        <v>#NAME?</v>
      </c>
      <c r="AW9" s="406"/>
      <c r="AX9" s="406"/>
      <c r="AY9" s="406"/>
      <c r="AZ9" s="406"/>
    </row>
    <row r="10" spans="1:52" s="10" customFormat="1" ht="15.5">
      <c r="A10" s="61" t="s">
        <v>9</v>
      </c>
      <c r="B10" s="98">
        <v>3</v>
      </c>
      <c r="C10" s="102">
        <f t="shared" si="0"/>
        <v>80</v>
      </c>
      <c r="D10" s="96"/>
      <c r="E10" s="72">
        <f t="shared" si="1"/>
        <v>-0.1</v>
      </c>
      <c r="F10" s="19">
        <f t="shared" si="2"/>
        <v>1.8634393824603279</v>
      </c>
      <c r="G10" s="68">
        <f t="shared" ca="1" si="3"/>
        <v>-0.16</v>
      </c>
      <c r="H10" s="65" t="e">
        <f t="shared" ca="1" si="44"/>
        <v>#NAME?</v>
      </c>
      <c r="I10" s="72">
        <f t="shared" si="4"/>
        <v>-0.1</v>
      </c>
      <c r="J10" s="19">
        <f t="shared" si="5"/>
        <v>1.8634393824603279</v>
      </c>
      <c r="K10" s="68">
        <f t="shared" ca="1" si="6"/>
        <v>-0.16</v>
      </c>
      <c r="L10" s="65" t="e">
        <f t="shared" ca="1" si="7"/>
        <v>#NAME?</v>
      </c>
      <c r="M10" s="72">
        <f t="shared" si="8"/>
        <v>-0.1</v>
      </c>
      <c r="N10" s="19">
        <f t="shared" si="9"/>
        <v>1.8634393824603279</v>
      </c>
      <c r="O10" s="68">
        <f t="shared" ca="1" si="10"/>
        <v>-0.16</v>
      </c>
      <c r="P10" s="65" t="e">
        <f t="shared" ca="1" si="11"/>
        <v>#NAME?</v>
      </c>
      <c r="Q10" s="72">
        <f t="shared" si="12"/>
        <v>-0.1</v>
      </c>
      <c r="R10" s="19">
        <f t="shared" si="13"/>
        <v>1.8634393824603279</v>
      </c>
      <c r="S10" s="68">
        <f t="shared" ca="1" si="14"/>
        <v>-0.16</v>
      </c>
      <c r="T10" s="65" t="e">
        <f t="shared" ca="1" si="15"/>
        <v>#NAME?</v>
      </c>
      <c r="U10" s="72">
        <f t="shared" si="16"/>
        <v>-0.1</v>
      </c>
      <c r="V10" s="19">
        <f t="shared" si="17"/>
        <v>1.8634393824603279</v>
      </c>
      <c r="W10" s="68">
        <f t="shared" ca="1" si="18"/>
        <v>-0.16</v>
      </c>
      <c r="X10" s="65" t="e">
        <f t="shared" ca="1" si="19"/>
        <v>#NAME?</v>
      </c>
      <c r="Y10" s="72">
        <f t="shared" si="20"/>
        <v>-0.10107913669064748</v>
      </c>
      <c r="Z10" s="19">
        <f t="shared" si="21"/>
        <v>1.8837833705281426</v>
      </c>
      <c r="AA10" s="68">
        <f t="shared" ca="1" si="22"/>
        <v>-0.1610791366906475</v>
      </c>
      <c r="AB10" s="65" t="e">
        <f t="shared" ca="1" si="23"/>
        <v>#NAME?</v>
      </c>
      <c r="AC10" s="72">
        <f t="shared" si="24"/>
        <v>-0.10604316546762591</v>
      </c>
      <c r="AD10" s="19">
        <f t="shared" si="25"/>
        <v>1.9774308526135087</v>
      </c>
      <c r="AE10" s="68">
        <f t="shared" ca="1" si="26"/>
        <v>-0.1660431654676259</v>
      </c>
      <c r="AF10" s="65" t="e">
        <f t="shared" ca="1" si="27"/>
        <v>#NAME?</v>
      </c>
      <c r="AG10" s="72">
        <f t="shared" si="28"/>
        <v>-0.11165467625899281</v>
      </c>
      <c r="AH10" s="19">
        <f t="shared" si="29"/>
        <v>2.083422196920921</v>
      </c>
      <c r="AI10" s="68">
        <f t="shared" ca="1" si="30"/>
        <v>-0.17165467625899281</v>
      </c>
      <c r="AJ10" s="65" t="e">
        <f t="shared" ca="1" si="31"/>
        <v>#NAME?</v>
      </c>
      <c r="AK10" s="72">
        <f t="shared" si="32"/>
        <v>-0.11791366906474821</v>
      </c>
      <c r="AL10" s="19">
        <f t="shared" si="33"/>
        <v>2.2018049901553027</v>
      </c>
      <c r="AM10" s="68">
        <f t="shared" ca="1" si="34"/>
        <v>-0.1779136690647482</v>
      </c>
      <c r="AN10" s="65" t="e">
        <f t="shared" ca="1" si="35"/>
        <v>#NAME?</v>
      </c>
      <c r="AO10" s="72">
        <f t="shared" si="36"/>
        <v>-0.1250359712230216</v>
      </c>
      <c r="AP10" s="19">
        <f t="shared" si="37"/>
        <v>2.3367241414840123</v>
      </c>
      <c r="AQ10" s="68">
        <f t="shared" ca="1" si="38"/>
        <v>-0.18503597122302159</v>
      </c>
      <c r="AR10" s="65" t="e">
        <f t="shared" ca="1" si="39"/>
        <v>#NAME?</v>
      </c>
      <c r="AS10" s="72">
        <f t="shared" si="40"/>
        <v>-0.13271186440677968</v>
      </c>
      <c r="AT10" s="19">
        <f t="shared" si="41"/>
        <v>2.4823780176203059</v>
      </c>
      <c r="AU10" s="68">
        <f t="shared" ca="1" si="42"/>
        <v>-0.19271186440677968</v>
      </c>
      <c r="AV10" s="65" t="e">
        <f t="shared" ca="1" si="43"/>
        <v>#NAME?</v>
      </c>
      <c r="AW10" s="406"/>
      <c r="AX10" s="406"/>
      <c r="AY10" s="406"/>
      <c r="AZ10" s="406"/>
    </row>
    <row r="11" spans="1:52" s="10" customFormat="1" ht="15.5">
      <c r="A11" s="61" t="s">
        <v>35</v>
      </c>
      <c r="B11" s="98">
        <v>2</v>
      </c>
      <c r="C11" s="102">
        <f t="shared" si="0"/>
        <v>50</v>
      </c>
      <c r="D11" s="96">
        <v>0.1</v>
      </c>
      <c r="E11" s="72">
        <f t="shared" si="1"/>
        <v>-4.0900230549994032E-2</v>
      </c>
      <c r="F11" s="19">
        <f t="shared" si="2"/>
        <v>0.47310557482524995</v>
      </c>
      <c r="G11" s="68">
        <f t="shared" ca="1" si="3"/>
        <v>-0.20090023054999404</v>
      </c>
      <c r="H11" s="65" t="e">
        <f t="shared" ca="1" si="44"/>
        <v>#NAME?</v>
      </c>
      <c r="I11" s="72">
        <f t="shared" si="4"/>
        <v>-4.295698887999045E-2</v>
      </c>
      <c r="J11" s="19">
        <f t="shared" si="5"/>
        <v>0.4970145974489637</v>
      </c>
      <c r="K11" s="68">
        <f t="shared" ca="1" si="6"/>
        <v>-0.20295698887999045</v>
      </c>
      <c r="L11" s="65" t="e">
        <f t="shared" ca="1" si="7"/>
        <v>#NAME?</v>
      </c>
      <c r="M11" s="72">
        <f t="shared" si="8"/>
        <v>-4.5870729847485373E-2</v>
      </c>
      <c r="N11" s="19">
        <f t="shared" si="9"/>
        <v>0.5309051014401156</v>
      </c>
      <c r="O11" s="68">
        <f t="shared" ca="1" si="10"/>
        <v>-0.20587072984748539</v>
      </c>
      <c r="P11" s="65" t="e">
        <f t="shared" ca="1" si="11"/>
        <v>#NAME?</v>
      </c>
      <c r="Q11" s="72">
        <f t="shared" si="12"/>
        <v>-4.8613074287480594E-2</v>
      </c>
      <c r="R11" s="19">
        <f t="shared" si="13"/>
        <v>0.56282282375003101</v>
      </c>
      <c r="S11" s="68">
        <f t="shared" ca="1" si="14"/>
        <v>-0.2086130742874806</v>
      </c>
      <c r="T11" s="65" t="e">
        <f t="shared" ca="1" si="15"/>
        <v>#NAME?</v>
      </c>
      <c r="U11" s="72">
        <f t="shared" si="16"/>
        <v>-5.1869608309974918E-2</v>
      </c>
      <c r="V11" s="19">
        <f t="shared" si="17"/>
        <v>0.60075130537713406</v>
      </c>
      <c r="W11" s="68">
        <f t="shared" ca="1" si="18"/>
        <v>-0.21186960830997492</v>
      </c>
      <c r="X11" s="65" t="e">
        <f t="shared" ca="1" si="19"/>
        <v>#NAME?</v>
      </c>
      <c r="Y11" s="72">
        <f t="shared" si="20"/>
        <v>-5.5283180514783474E-2</v>
      </c>
      <c r="Z11" s="19">
        <f t="shared" si="21"/>
        <v>0.64053933542571606</v>
      </c>
      <c r="AA11" s="68">
        <f t="shared" ca="1" si="22"/>
        <v>-0.21636231720543098</v>
      </c>
      <c r="AB11" s="65" t="e">
        <f t="shared" ca="1" si="23"/>
        <v>#NAME?</v>
      </c>
      <c r="AC11" s="72">
        <f t="shared" si="24"/>
        <v>-5.837082823292479E-2</v>
      </c>
      <c r="AD11" s="19">
        <f t="shared" si="25"/>
        <v>0.67655539091329153</v>
      </c>
      <c r="AE11" s="68">
        <f t="shared" ca="1" si="26"/>
        <v>-0.22441399370055071</v>
      </c>
      <c r="AF11" s="65" t="e">
        <f t="shared" ca="1" si="27"/>
        <v>#NAME?</v>
      </c>
      <c r="AG11" s="72">
        <f t="shared" si="28"/>
        <v>-6.1861212609954121E-2</v>
      </c>
      <c r="AH11" s="19">
        <f t="shared" si="29"/>
        <v>0.71730003822221278</v>
      </c>
      <c r="AI11" s="68">
        <f t="shared" ca="1" si="30"/>
        <v>-0.23351588886894692</v>
      </c>
      <c r="AJ11" s="65" t="e">
        <f t="shared" ca="1" si="31"/>
        <v>#NAME?</v>
      </c>
      <c r="AK11" s="72">
        <f t="shared" si="32"/>
        <v>-6.5754333645871452E-2</v>
      </c>
      <c r="AL11" s="19">
        <f t="shared" si="33"/>
        <v>0.76278463938473928</v>
      </c>
      <c r="AM11" s="68">
        <f t="shared" ca="1" si="34"/>
        <v>-0.24366800271061967</v>
      </c>
      <c r="AN11" s="65" t="e">
        <f t="shared" ca="1" si="35"/>
        <v>#NAME?</v>
      </c>
      <c r="AO11" s="72">
        <f t="shared" si="36"/>
        <v>-7.0184436893639429E-2</v>
      </c>
      <c r="AP11" s="19">
        <f t="shared" si="37"/>
        <v>0.81459260017398005</v>
      </c>
      <c r="AQ11" s="68">
        <f t="shared" ca="1" si="38"/>
        <v>-0.25522040811666102</v>
      </c>
      <c r="AR11" s="65" t="e">
        <f t="shared" ca="1" si="39"/>
        <v>#NAME?</v>
      </c>
      <c r="AS11" s="72">
        <f t="shared" si="40"/>
        <v>-7.4458437003816907E-2</v>
      </c>
      <c r="AT11" s="19">
        <f t="shared" si="41"/>
        <v>0.86462512082261522</v>
      </c>
      <c r="AU11" s="68">
        <f t="shared" ca="1" si="42"/>
        <v>-0.26717030141059661</v>
      </c>
      <c r="AV11" s="65" t="e">
        <f t="shared" ca="1" si="43"/>
        <v>#NAME?</v>
      </c>
      <c r="AW11" s="406"/>
      <c r="AX11" s="406"/>
      <c r="AY11" s="406"/>
      <c r="AZ11" s="406"/>
    </row>
    <row r="12" spans="1:52" s="10" customFormat="1" ht="15.5">
      <c r="A12" s="61" t="s">
        <v>288</v>
      </c>
      <c r="B12" s="98">
        <v>1</v>
      </c>
      <c r="C12" s="102">
        <f t="shared" si="0"/>
        <v>20</v>
      </c>
      <c r="D12" s="96"/>
      <c r="E12" s="72">
        <f>G_Lookup($A12,$E$3, E$4,$D12)</f>
        <v>-0.13</v>
      </c>
      <c r="F12" s="19">
        <f>Atten_to_Te(E12,$C12)</f>
        <v>0.60772240883232076</v>
      </c>
      <c r="G12" s="68">
        <f t="shared" ca="1" si="3"/>
        <v>-0.33090023054999407</v>
      </c>
      <c r="H12" s="65" t="e">
        <f t="shared" ca="1" si="44"/>
        <v>#NAME?</v>
      </c>
      <c r="I12" s="72">
        <f t="shared" si="4"/>
        <v>-0.14000000000000001</v>
      </c>
      <c r="J12" s="19">
        <f t="shared" si="5"/>
        <v>0.65522811522794822</v>
      </c>
      <c r="K12" s="68">
        <f t="shared" ca="1" si="6"/>
        <v>-0.34295698887999049</v>
      </c>
      <c r="L12" s="65" t="e">
        <f t="shared" ca="1" si="7"/>
        <v>#NAME?</v>
      </c>
      <c r="M12" s="72">
        <f t="shared" si="8"/>
        <v>-0.14000000000000001</v>
      </c>
      <c r="N12" s="19">
        <f t="shared" si="9"/>
        <v>0.65522811522794822</v>
      </c>
      <c r="O12" s="68">
        <f t="shared" ca="1" si="10"/>
        <v>-0.3458707298474854</v>
      </c>
      <c r="P12" s="65" t="e">
        <f t="shared" ca="1" si="11"/>
        <v>#NAME?</v>
      </c>
      <c r="Q12" s="72">
        <f t="shared" si="12"/>
        <v>-0.15</v>
      </c>
      <c r="R12" s="19">
        <f t="shared" si="13"/>
        <v>0.70284333358687778</v>
      </c>
      <c r="S12" s="68">
        <f t="shared" ca="1" si="14"/>
        <v>-0.35861307428748057</v>
      </c>
      <c r="T12" s="65" t="e">
        <f t="shared" ca="1" si="15"/>
        <v>#NAME?</v>
      </c>
      <c r="U12" s="72">
        <f t="shared" si="16"/>
        <v>-0.16</v>
      </c>
      <c r="V12" s="19">
        <f t="shared" si="17"/>
        <v>0.7505683163602539</v>
      </c>
      <c r="W12" s="68">
        <f t="shared" ca="1" si="18"/>
        <v>-0.37186960830997495</v>
      </c>
      <c r="X12" s="65" t="e">
        <f t="shared" ca="1" si="19"/>
        <v>#NAME?</v>
      </c>
      <c r="Y12" s="72">
        <f t="shared" si="20"/>
        <v>-0.17</v>
      </c>
      <c r="Z12" s="19">
        <f t="shared" si="21"/>
        <v>0.79840331658118657</v>
      </c>
      <c r="AA12" s="68">
        <f t="shared" ca="1" si="22"/>
        <v>-0.38636231720543102</v>
      </c>
      <c r="AB12" s="65" t="e">
        <f t="shared" ca="1" si="23"/>
        <v>#NAME?</v>
      </c>
      <c r="AC12" s="72">
        <f t="shared" si="24"/>
        <v>-0.18</v>
      </c>
      <c r="AD12" s="19">
        <f t="shared" si="25"/>
        <v>0.84634858786608369</v>
      </c>
      <c r="AE12" s="68">
        <f t="shared" ca="1" si="26"/>
        <v>-0.4044139937005507</v>
      </c>
      <c r="AF12" s="65" t="e">
        <f t="shared" ca="1" si="27"/>
        <v>#NAME?</v>
      </c>
      <c r="AG12" s="72">
        <f t="shared" si="28"/>
        <v>-0.19</v>
      </c>
      <c r="AH12" s="19">
        <f t="shared" si="29"/>
        <v>0.89440438441600101</v>
      </c>
      <c r="AI12" s="68">
        <f t="shared" ca="1" si="30"/>
        <v>-0.42351588886894692</v>
      </c>
      <c r="AJ12" s="65" t="e">
        <f t="shared" ca="1" si="31"/>
        <v>#NAME?</v>
      </c>
      <c r="AK12" s="72">
        <f t="shared" si="32"/>
        <v>-0.2</v>
      </c>
      <c r="AL12" s="19">
        <f t="shared" si="33"/>
        <v>0.9425709610179922</v>
      </c>
      <c r="AM12" s="68">
        <f t="shared" ca="1" si="34"/>
        <v>-0.44366800271061968</v>
      </c>
      <c r="AN12" s="65" t="e">
        <f t="shared" ca="1" si="35"/>
        <v>#NAME?</v>
      </c>
      <c r="AO12" s="72">
        <f t="shared" si="36"/>
        <v>-0.22</v>
      </c>
      <c r="AP12" s="19">
        <f t="shared" si="37"/>
        <v>1.0392374764644563</v>
      </c>
      <c r="AQ12" s="68">
        <f t="shared" ca="1" si="38"/>
        <v>-0.475220408116661</v>
      </c>
      <c r="AR12" s="65" t="e">
        <f t="shared" ca="1" si="39"/>
        <v>#NAME?</v>
      </c>
      <c r="AS12" s="72">
        <f t="shared" si="40"/>
        <v>-0.23</v>
      </c>
      <c r="AT12" s="19">
        <f t="shared" si="41"/>
        <v>1.0877379278251764</v>
      </c>
      <c r="AU12" s="68">
        <f t="shared" ca="1" si="42"/>
        <v>-0.49717030141059659</v>
      </c>
      <c r="AV12" s="65" t="e">
        <f t="shared" ca="1" si="43"/>
        <v>#NAME?</v>
      </c>
      <c r="AW12" s="406"/>
      <c r="AX12" s="406"/>
      <c r="AY12" s="406"/>
      <c r="AZ12" s="406"/>
    </row>
    <row r="13" spans="1:52" s="17" customFormat="1" ht="15.5">
      <c r="A13" s="63" t="s">
        <v>164</v>
      </c>
      <c r="B13" s="98">
        <v>4</v>
      </c>
      <c r="C13" s="102">
        <f t="shared" si="0"/>
        <v>190</v>
      </c>
      <c r="D13" s="97"/>
      <c r="E13" s="113">
        <f>G_Lookup($A13,$E$3, E$4,$D13)</f>
        <v>0</v>
      </c>
      <c r="F13" s="115">
        <f>T_LNA($A13,E$4,$C13)</f>
        <v>0.20358866799514533</v>
      </c>
      <c r="G13" s="68">
        <f t="shared" ref="G13" ca="1" si="45">E13+OFFSET(G13,-1,0)</f>
        <v>-0.33090023054999407</v>
      </c>
      <c r="H13" s="65" t="e">
        <f t="shared" ref="H13" ca="1" si="46">OFFSET(H13,-1,0)+F13*dbToAbs(-1*OFFSET(G13,-1,0))</f>
        <v>#NAME?</v>
      </c>
      <c r="I13" s="113">
        <f>G_Lookup($A13,$E$3, I$4,$D13)</f>
        <v>0</v>
      </c>
      <c r="J13" s="115">
        <f>T_LNA($A13,I$4,$C13)</f>
        <v>0.19895442412967093</v>
      </c>
      <c r="K13" s="68">
        <f t="shared" ca="1" si="6"/>
        <v>-0.34295698887999049</v>
      </c>
      <c r="L13" s="65" t="e">
        <f t="shared" ca="1" si="7"/>
        <v>#NAME?</v>
      </c>
      <c r="M13" s="113">
        <f>G_Lookup($A13,$E$3, M$4,$D13)</f>
        <v>0</v>
      </c>
      <c r="N13" s="115">
        <f>T_LNA($A13,M$4,$C13)</f>
        <v>0.19</v>
      </c>
      <c r="O13" s="68">
        <f t="shared" ref="O13" ca="1" si="47">M13+OFFSET(O13,-1,0)</f>
        <v>-0.3458707298474854</v>
      </c>
      <c r="P13" s="65" t="e">
        <f t="shared" ref="P13" ca="1" si="48">OFFSET(P13,-1,0)+N13*dbToAbs(-1*OFFSET(O13,-1,0))</f>
        <v>#NAME?</v>
      </c>
      <c r="Q13" s="113">
        <f>G_Lookup($A13,$E$3, Q$4,$D13)</f>
        <v>0</v>
      </c>
      <c r="R13" s="115">
        <f>T_LNA($A13,Q$4,$C13)</f>
        <v>0.18144859134407282</v>
      </c>
      <c r="S13" s="68">
        <f t="shared" ref="S13" ca="1" si="49">Q13+OFFSET(S13,-1,0)</f>
        <v>-0.35861307428748057</v>
      </c>
      <c r="T13" s="65" t="e">
        <f t="shared" ref="T13" ca="1" si="50">OFFSET(T13,-1,0)+R13*dbToAbs(-1*OFFSET(S13,-1,0))</f>
        <v>#NAME?</v>
      </c>
      <c r="U13" s="113">
        <f>G_Lookup($A13,$E$3, U$4,$D13)</f>
        <v>0</v>
      </c>
      <c r="V13" s="115">
        <f>T_LNA($A13,U$4,$C13)</f>
        <v>0.17731831715142821</v>
      </c>
      <c r="W13" s="68">
        <f t="shared" ref="W13" ca="1" si="51">U13+OFFSET(W13,-1,0)</f>
        <v>-0.37186960830997495</v>
      </c>
      <c r="X13" s="65" t="e">
        <f t="shared" ref="X13" ca="1" si="52">OFFSET(X13,-1,0)+V13*dbToAbs(-1*OFFSET(W13,-1,0))</f>
        <v>#NAME?</v>
      </c>
      <c r="Y13" s="113">
        <f>G_Lookup($A13,$E$3, Y$4,$D13)</f>
        <v>0</v>
      </c>
      <c r="Z13" s="115">
        <f>T_LNA($A13,Y$4,$C13)</f>
        <v>0.18567507198160393</v>
      </c>
      <c r="AA13" s="68">
        <f t="shared" ref="AA13" ca="1" si="53">Y13+OFFSET(AA13,-1,0)</f>
        <v>-0.38636231720543102</v>
      </c>
      <c r="AB13" s="65" t="e">
        <f t="shared" ref="AB13" ca="1" si="54">OFFSET(AB13,-1,0)+Z13*dbToAbs(-1*OFFSET(AA13,-1,0))</f>
        <v>#NAME?</v>
      </c>
      <c r="AC13" s="113">
        <f>G_Lookup($A13,$E$3, AC$4,$D13)</f>
        <v>0</v>
      </c>
      <c r="AD13" s="115">
        <f>T_LNA($A13,AC$4,$C13)</f>
        <v>0.19442566853334337</v>
      </c>
      <c r="AE13" s="68">
        <f t="shared" ref="AE13" ca="1" si="55">AC13+OFFSET(AE13,-1,0)</f>
        <v>-0.4044139937005507</v>
      </c>
      <c r="AF13" s="65" t="e">
        <f t="shared" ref="AF13" ca="1" si="56">OFFSET(AF13,-1,0)+AD13*dbToAbs(-1*OFFSET(AE13,-1,0))</f>
        <v>#NAME?</v>
      </c>
      <c r="AG13" s="113">
        <f>G_Lookup($A13,$E$3, AG$4,$D13)</f>
        <v>0</v>
      </c>
      <c r="AH13" s="115">
        <f>T_LNA($A13,AG$4,$C13)</f>
        <v>0.19442566853334337</v>
      </c>
      <c r="AI13" s="68">
        <f t="shared" ref="AI13" ca="1" si="57">AG13+OFFSET(AI13,-1,0)</f>
        <v>-0.42351588886894692</v>
      </c>
      <c r="AJ13" s="65" t="e">
        <f t="shared" ref="AJ13" ca="1" si="58">OFFSET(AJ13,-1,0)+AH13*dbToAbs(-1*OFFSET(AI13,-1,0))</f>
        <v>#NAME?</v>
      </c>
      <c r="AK13" s="113">
        <f>G_Lookup($A13,$E$3, AK$4,$D13)</f>
        <v>0</v>
      </c>
      <c r="AL13" s="115">
        <f>T_LNA($A13,AK$4,$C13)</f>
        <v>0.18567507198160393</v>
      </c>
      <c r="AM13" s="68">
        <f t="shared" ref="AM13" ca="1" si="59">AK13+OFFSET(AM13,-1,0)</f>
        <v>-0.44366800271061968</v>
      </c>
      <c r="AN13" s="65" t="e">
        <f t="shared" ref="AN13" ca="1" si="60">OFFSET(AN13,-1,0)+AL13*dbToAbs(-1*OFFSET(AM13,-1,0))</f>
        <v>#NAME?</v>
      </c>
      <c r="AO13" s="113">
        <f>G_Lookup($A13,$E$3, AO$4,$D13)</f>
        <v>0</v>
      </c>
      <c r="AP13" s="115">
        <f>T_LNA($A13,AO$4,$C13)</f>
        <v>0.17328205947762282</v>
      </c>
      <c r="AQ13" s="68">
        <f t="shared" ref="AQ13" ca="1" si="61">AO13+OFFSET(AQ13,-1,0)</f>
        <v>-0.475220408116661</v>
      </c>
      <c r="AR13" s="65" t="e">
        <f t="shared" ref="AR13" ca="1" si="62">OFFSET(AR13,-1,0)+AP13*dbToAbs(-1*OFFSET(AQ13,-1,0))</f>
        <v>#NAME?</v>
      </c>
      <c r="AS13" s="113">
        <f>G_Lookup($A13,$E$3, AS$4,$D13)</f>
        <v>0</v>
      </c>
      <c r="AT13" s="115">
        <f>T_LNA($A13,AS$4,$C13)</f>
        <v>0.17731831715142821</v>
      </c>
      <c r="AU13" s="68">
        <f t="shared" ref="AU13" ca="1" si="63">AS13+OFFSET(AU13,-1,0)</f>
        <v>-0.49717030141059659</v>
      </c>
      <c r="AV13" s="65" t="e">
        <f t="shared" ref="AV13" ca="1" si="64">OFFSET(AV13,-1,0)+AT13*dbToAbs(-1*OFFSET(AU13,-1,0))</f>
        <v>#NAME?</v>
      </c>
      <c r="AW13" s="407"/>
      <c r="AX13" s="408"/>
      <c r="AY13" s="408"/>
      <c r="AZ13" s="408"/>
    </row>
    <row r="14" spans="1:52" s="17" customFormat="1" ht="15.5">
      <c r="A14" s="63" t="s">
        <v>53</v>
      </c>
      <c r="B14" s="98">
        <v>1</v>
      </c>
      <c r="C14" s="102">
        <f t="shared" si="0"/>
        <v>20</v>
      </c>
      <c r="D14" s="97"/>
      <c r="E14" s="113">
        <f>G_Lookup($A14,$E$3, E$4,$D14)</f>
        <v>35.5</v>
      </c>
      <c r="F14" s="115">
        <f>T_LNA($A14,E$4)</f>
        <v>2.8249999999999997</v>
      </c>
      <c r="G14" s="68">
        <f t="shared" ca="1" si="3"/>
        <v>35.169099769450007</v>
      </c>
      <c r="H14" s="65" t="e">
        <f t="shared" ca="1" si="44"/>
        <v>#NAME?</v>
      </c>
      <c r="I14" s="113">
        <f>G_Lookup($A14,$E$3, I$4,$D14)</f>
        <v>36.1</v>
      </c>
      <c r="J14" s="115">
        <f>T_LNA($A14,I$4)</f>
        <v>2.2825999999999991</v>
      </c>
      <c r="K14" s="68">
        <f t="shared" ca="1" si="6"/>
        <v>35.757043011120011</v>
      </c>
      <c r="L14" s="65" t="e">
        <f t="shared" ca="1" si="7"/>
        <v>#NAME?</v>
      </c>
      <c r="M14" s="113">
        <f>G_Lookup($A14,$E$3, M$4,$D14)</f>
        <v>36.5</v>
      </c>
      <c r="N14" s="115">
        <f>T_LNA($A14,M$4)</f>
        <v>2.2260999999999997</v>
      </c>
      <c r="O14" s="68">
        <f t="shared" ca="1" si="10"/>
        <v>36.154129270152517</v>
      </c>
      <c r="P14" s="65" t="e">
        <f t="shared" ca="1" si="11"/>
        <v>#NAME?</v>
      </c>
      <c r="Q14" s="113">
        <f>G_Lookup($A14,$E$3, Q$4,$D14)</f>
        <v>36.375</v>
      </c>
      <c r="R14" s="115">
        <f>T_LNA($A14,Q$4)</f>
        <v>2.5989999999999998</v>
      </c>
      <c r="S14" s="68">
        <f t="shared" ca="1" si="14"/>
        <v>36.016386925712517</v>
      </c>
      <c r="T14" s="65" t="e">
        <f t="shared" ca="1" si="15"/>
        <v>#NAME?</v>
      </c>
      <c r="U14" s="113">
        <f>G_Lookup($A14,$E$3, U$4,$D14)</f>
        <v>35.799999999999997</v>
      </c>
      <c r="V14" s="115">
        <f>T_LNA($A14,U$4)</f>
        <v>2.5311999999999997</v>
      </c>
      <c r="W14" s="68">
        <f t="shared" ca="1" si="18"/>
        <v>35.428130391690026</v>
      </c>
      <c r="X14" s="65" t="e">
        <f t="shared" ca="1" si="19"/>
        <v>#NAME?</v>
      </c>
      <c r="Y14" s="113">
        <f>G_Lookup($A14,$E$3, Y$4,$D14)</f>
        <v>34.875</v>
      </c>
      <c r="Z14" s="115">
        <f>T_LNA($A14,Y$4)</f>
        <v>2.2599999999999998</v>
      </c>
      <c r="AA14" s="68">
        <f t="shared" ca="1" si="22"/>
        <v>34.488637682794568</v>
      </c>
      <c r="AB14" s="65" t="e">
        <f t="shared" ca="1" si="23"/>
        <v>#NAME?</v>
      </c>
      <c r="AC14" s="113">
        <f>G_Lookup($A14,$E$3, AC$4,$D14)</f>
        <v>34.299999999999997</v>
      </c>
      <c r="AD14" s="115">
        <f>T_LNA($A14,AC$4)</f>
        <v>2.0792000000000002</v>
      </c>
      <c r="AE14" s="68">
        <f t="shared" ca="1" si="26"/>
        <v>33.895586006299446</v>
      </c>
      <c r="AF14" s="65" t="e">
        <f t="shared" ca="1" si="27"/>
        <v>#NAME?</v>
      </c>
      <c r="AG14" s="113">
        <f>G_Lookup($A14,$E$3, AG$4,$D14)</f>
        <v>33.65</v>
      </c>
      <c r="AH14" s="115">
        <f>T_LNA($A14,AG$4)</f>
        <v>1.4124999999999999</v>
      </c>
      <c r="AI14" s="68">
        <f t="shared" ca="1" si="30"/>
        <v>33.22648411113105</v>
      </c>
      <c r="AJ14" s="65" t="e">
        <f t="shared" ca="1" si="31"/>
        <v>#NAME?</v>
      </c>
      <c r="AK14" s="113">
        <f>G_Lookup($A14,$E$3, AK$4,$D14)</f>
        <v>33.5</v>
      </c>
      <c r="AL14" s="115">
        <f>T_LNA($A14,AK$4)</f>
        <v>1.0960999999999996</v>
      </c>
      <c r="AM14" s="68">
        <f t="shared" ca="1" si="34"/>
        <v>33.056331997289384</v>
      </c>
      <c r="AN14" s="65" t="e">
        <f t="shared" ca="1" si="35"/>
        <v>#NAME?</v>
      </c>
      <c r="AO14" s="113">
        <f>G_Lookup($A14,$E$3, AO$4,$D14)</f>
        <v>33.9</v>
      </c>
      <c r="AP14" s="115">
        <f>T_LNA($A14,AO$4)</f>
        <v>0.99439999999999995</v>
      </c>
      <c r="AQ14" s="68">
        <f t="shared" ca="1" si="38"/>
        <v>33.424779591883336</v>
      </c>
      <c r="AR14" s="65" t="e">
        <f t="shared" ca="1" si="39"/>
        <v>#NAME?</v>
      </c>
      <c r="AS14" s="113">
        <f>G_Lookup($A14,$E$3, AS$4,$D14)</f>
        <v>34.5</v>
      </c>
      <c r="AT14" s="115">
        <f>T_LNA($A14,AS$4)</f>
        <v>1.4577</v>
      </c>
      <c r="AU14" s="68">
        <f t="shared" ca="1" si="42"/>
        <v>34.002829698589402</v>
      </c>
      <c r="AV14" s="65" t="e">
        <f t="shared" ca="1" si="43"/>
        <v>#NAME?</v>
      </c>
      <c r="AW14" s="407"/>
      <c r="AX14" s="408"/>
      <c r="AY14" s="408"/>
      <c r="AZ14" s="408"/>
    </row>
    <row r="15" spans="1:52" s="10" customFormat="1" ht="15.5">
      <c r="A15" s="541" t="s">
        <v>34</v>
      </c>
      <c r="B15" s="96">
        <v>2</v>
      </c>
      <c r="C15" s="103">
        <f t="shared" si="0"/>
        <v>50</v>
      </c>
      <c r="D15" s="539">
        <v>0.1</v>
      </c>
      <c r="E15" s="530">
        <f t="shared" si="1"/>
        <v>-0.1546892800641676</v>
      </c>
      <c r="F15" s="531">
        <f t="shared" ref="F15" si="65">Atten_to_Te(E15,$C15)</f>
        <v>1.81302307909188</v>
      </c>
      <c r="G15" s="532">
        <f t="shared" ref="G15" ca="1" si="66">E15+OFFSET(G15,-1,0)</f>
        <v>35.014410489385838</v>
      </c>
      <c r="H15" s="533" t="e">
        <f t="shared" ref="H15" ca="1" si="67">OFFSET(H15,-1,0)+F15*dbToAbs(-1*OFFSET(G15,-1,0))</f>
        <v>#NAME?</v>
      </c>
      <c r="I15" s="530">
        <f t="shared" ref="I15:I16" si="68">G_Lookup($A15,$E$3, I$4,$D15)</f>
        <v>-0.16179199445266815</v>
      </c>
      <c r="J15" s="531">
        <f t="shared" ref="J15" si="69">Atten_to_Te(I15,$C15)</f>
        <v>1.8978305586801802</v>
      </c>
      <c r="K15" s="532">
        <f t="shared" ref="K15" ca="1" si="70">I15+OFFSET(K15,-1,0)</f>
        <v>35.595251016667341</v>
      </c>
      <c r="L15" s="533" t="e">
        <f t="shared" ref="L15" ca="1" si="71">OFFSET(L15,-1,0)+J15*dbToAbs(-1*OFFSET(K15,-1,0))</f>
        <v>#NAME?</v>
      </c>
      <c r="M15" s="530">
        <f t="shared" ref="M15:M16" si="72">G_Lookup($A15,$E$3, M$4,$D15)</f>
        <v>-0.17185417316971061</v>
      </c>
      <c r="N15" s="531">
        <f t="shared" ref="N15" si="73">Atten_to_Te(M15,$C15)</f>
        <v>2.0182121625520688</v>
      </c>
      <c r="O15" s="532">
        <f t="shared" ref="O15" ca="1" si="74">M15+OFFSET(O15,-1,0)</f>
        <v>35.982275096982804</v>
      </c>
      <c r="P15" s="533" t="e">
        <f t="shared" ref="P15" ca="1" si="75">OFFSET(P15,-1,0)+N15*dbToAbs(-1*OFFSET(O15,-1,0))</f>
        <v>#NAME?</v>
      </c>
      <c r="Q15" s="530">
        <f t="shared" ref="Q15:Q16" si="76">G_Lookup($A15,$E$3, Q$4,$D15)</f>
        <v>-0.18132445902104466</v>
      </c>
      <c r="R15" s="531">
        <f t="shared" ref="R15" si="77">Atten_to_Te(Q15,$C15)</f>
        <v>2.1317675644378253</v>
      </c>
      <c r="S15" s="532">
        <f t="shared" ref="S15" ca="1" si="78">Q15+OFFSET(S15,-1,0)</f>
        <v>35.835062466691475</v>
      </c>
      <c r="T15" s="533" t="e">
        <f t="shared" ref="T15" ca="1" si="79">OFFSET(T15,-1,0)+R15*dbToAbs(-1*OFFSET(S15,-1,0))</f>
        <v>#NAME?</v>
      </c>
      <c r="U15" s="530">
        <f t="shared" ref="U15:U16" si="80">G_Lookup($A15,$E$3, U$4,$D15)</f>
        <v>-0.19257042346950387</v>
      </c>
      <c r="V15" s="531">
        <f t="shared" ref="V15" si="81">Atten_to_Te(U15,$C15)</f>
        <v>2.2669366154559167</v>
      </c>
      <c r="W15" s="532">
        <f t="shared" ref="W15" ca="1" si="82">U15+OFFSET(W15,-1,0)</f>
        <v>35.235559968220521</v>
      </c>
      <c r="X15" s="533" t="e">
        <f t="shared" ref="X15" ca="1" si="83">OFFSET(X15,-1,0)+V15*dbToAbs(-1*OFFSET(W15,-1,0))</f>
        <v>#NAME?</v>
      </c>
      <c r="Y15" s="530">
        <f t="shared" ref="Y15:Y16" si="84">G_Lookup($A15,$E$3, Y$4,$D15)</f>
        <v>-0.20431194940465347</v>
      </c>
      <c r="Z15" s="531">
        <f t="shared" ref="Z15" si="85">Atten_to_Te(Y15,$C15)</f>
        <v>2.4084359787530207</v>
      </c>
      <c r="AA15" s="532">
        <f t="shared" ref="AA15" ca="1" si="86">Y15+OFFSET(AA15,-1,0)</f>
        <v>34.284325733389913</v>
      </c>
      <c r="AB15" s="533" t="e">
        <f t="shared" ref="AB15" ca="1" si="87">OFFSET(AB15,-1,0)+Z15*dbToAbs(-1*OFFSET(AA15,-1,0))</f>
        <v>#NAME?</v>
      </c>
      <c r="AC15" s="530">
        <f t="shared" ref="AC15:AC16" si="88">G_Lookup($A15,$E$3, AC$4,$D15)</f>
        <v>-0.21475965379020492</v>
      </c>
      <c r="AD15" s="531">
        <f t="shared" ref="AD15" si="89">Atten_to_Te(AC15,$C15)</f>
        <v>2.5346653019889143</v>
      </c>
      <c r="AE15" s="532">
        <f t="shared" ref="AE15" ca="1" si="90">AC15+OFFSET(AE15,-1,0)</f>
        <v>33.680826352509243</v>
      </c>
      <c r="AF15" s="533" t="e">
        <f t="shared" ref="AF15" ca="1" si="91">OFFSET(AF15,-1,0)+AD15*dbToAbs(-1*OFFSET(AE15,-1,0))</f>
        <v>#NAME?</v>
      </c>
      <c r="AG15" s="530">
        <f t="shared" ref="AG15:AG16" si="92">G_Lookup($A15,$E$3, AG$4,$D15)</f>
        <v>-0.22657010222604568</v>
      </c>
      <c r="AH15" s="531">
        <f t="shared" ref="AH15" si="93">Atten_to_Te(AG15,$C15)</f>
        <v>2.6777254606936474</v>
      </c>
      <c r="AI15" s="532">
        <f t="shared" ref="AI15" ca="1" si="94">AG15+OFFSET(AI15,-1,0)</f>
        <v>32.999914008905002</v>
      </c>
      <c r="AJ15" s="533" t="e">
        <f t="shared" ref="AJ15" ca="1" si="95">OFFSET(AJ15,-1,0)+AH15*dbToAbs(-1*OFFSET(AI15,-1,0))</f>
        <v>#NAME?</v>
      </c>
      <c r="AK15" s="530">
        <f t="shared" ref="AK15:AK16" si="96">G_Lookup($A15,$E$3, AK$4,$D15)</f>
        <v>-0.23974329471217573</v>
      </c>
      <c r="AL15" s="531">
        <f t="shared" ref="AL15" si="97">Atten_to_Te(AK15,$C15)</f>
        <v>2.8377522040386349</v>
      </c>
      <c r="AM15" s="532">
        <f t="shared" ref="AM15" ca="1" si="98">AK15+OFFSET(AM15,-1,0)</f>
        <v>32.816588702577207</v>
      </c>
      <c r="AN15" s="533" t="e">
        <f t="shared" ref="AN15" ca="1" si="99">OFFSET(AN15,-1,0)+AL15*dbToAbs(-1*OFFSET(AM15,-1,0))</f>
        <v>#NAME?</v>
      </c>
      <c r="AO15" s="530">
        <f t="shared" ref="AO15:AO16" si="100">G_Lookup($A15,$E$3, AO$4,$D15)</f>
        <v>-0.25359347579760477</v>
      </c>
      <c r="AP15" s="531">
        <f t="shared" ref="AP15" si="101">Atten_to_Te(AO15,$C15)</f>
        <v>3.006527223703126</v>
      </c>
      <c r="AQ15" s="532">
        <f t="shared" ref="AQ15" ca="1" si="102">AO15+OFFSET(AQ15,-1,0)</f>
        <v>33.171186116085728</v>
      </c>
      <c r="AR15" s="533" t="e">
        <f t="shared" ref="AR15" ca="1" si="103">OFFSET(AR15,-1,0)+AP15*dbToAbs(-1*OFFSET(AQ15,-1,0))</f>
        <v>#NAME?</v>
      </c>
      <c r="AS15" s="530">
        <f t="shared" ref="AS15:AS16" si="104">G_Lookup($A15,$E$3, AS$4,$D15)</f>
        <v>-0.2662324031985458</v>
      </c>
      <c r="AT15" s="531">
        <f t="shared" ref="AT15" si="105">Atten_to_Te(AS15,$C15)</f>
        <v>3.1610125944554035</v>
      </c>
      <c r="AU15" s="532">
        <f t="shared" ref="AU15" ca="1" si="106">AS15+OFFSET(AU15,-1,0)</f>
        <v>33.736597295390858</v>
      </c>
      <c r="AV15" s="533" t="e">
        <f t="shared" ref="AV15" ca="1" si="107">OFFSET(AV15,-1,0)+AT15*dbToAbs(-1*OFFSET(AU15,-1,0))</f>
        <v>#NAME?</v>
      </c>
      <c r="AW15" s="406"/>
      <c r="AX15" s="409"/>
      <c r="AY15" s="406"/>
      <c r="AZ15" s="406"/>
    </row>
    <row r="16" spans="1:52" s="10" customFormat="1" ht="16" thickBot="1">
      <c r="A16" s="62" t="s">
        <v>34</v>
      </c>
      <c r="B16" s="98">
        <v>4</v>
      </c>
      <c r="C16" s="102">
        <f t="shared" si="0"/>
        <v>190</v>
      </c>
      <c r="D16" s="540">
        <v>0.1</v>
      </c>
      <c r="E16" s="57">
        <f t="shared" si="1"/>
        <v>-0.1546892800641676</v>
      </c>
      <c r="F16" s="58">
        <f t="shared" si="2"/>
        <v>6.8894877005491439</v>
      </c>
      <c r="G16" s="69">
        <f t="shared" ca="1" si="3"/>
        <v>34.85972120932167</v>
      </c>
      <c r="H16" s="66" t="e">
        <f t="shared" ca="1" si="44"/>
        <v>#NAME?</v>
      </c>
      <c r="I16" s="57">
        <f t="shared" si="68"/>
        <v>-0.16179199445266815</v>
      </c>
      <c r="J16" s="58">
        <f t="shared" ref="J16" si="108">Atten_to_Te(I16,$C16)</f>
        <v>7.2117561229846849</v>
      </c>
      <c r="K16" s="69">
        <f t="shared" ca="1" si="6"/>
        <v>35.43345902221467</v>
      </c>
      <c r="L16" s="66" t="e">
        <f t="shared" ca="1" si="7"/>
        <v>#NAME?</v>
      </c>
      <c r="M16" s="57">
        <f t="shared" si="72"/>
        <v>-0.17185417316971061</v>
      </c>
      <c r="N16" s="58">
        <f t="shared" ref="N16" si="109">Atten_to_Te(M16,$C16)</f>
        <v>7.6692062176978615</v>
      </c>
      <c r="O16" s="69">
        <f t="shared" ca="1" si="10"/>
        <v>35.810420923813091</v>
      </c>
      <c r="P16" s="66" t="e">
        <f t="shared" ca="1" si="11"/>
        <v>#NAME?</v>
      </c>
      <c r="Q16" s="57">
        <f t="shared" si="76"/>
        <v>-0.18132445902104466</v>
      </c>
      <c r="R16" s="58">
        <f t="shared" ref="R16" si="110">Atten_to_Te(Q16,$C16)</f>
        <v>8.1007167448637354</v>
      </c>
      <c r="S16" s="69">
        <f t="shared" ca="1" si="14"/>
        <v>35.653738007670434</v>
      </c>
      <c r="T16" s="66" t="e">
        <f t="shared" ca="1" si="15"/>
        <v>#NAME?</v>
      </c>
      <c r="U16" s="57">
        <f t="shared" si="80"/>
        <v>-0.19257042346950387</v>
      </c>
      <c r="V16" s="58">
        <f t="shared" ref="V16" si="111">Atten_to_Te(U16,$C16)</f>
        <v>8.6143591387324836</v>
      </c>
      <c r="W16" s="69">
        <f t="shared" ca="1" si="18"/>
        <v>35.042989544751016</v>
      </c>
      <c r="X16" s="66" t="e">
        <f t="shared" ca="1" si="19"/>
        <v>#NAME?</v>
      </c>
      <c r="Y16" s="57">
        <f t="shared" si="84"/>
        <v>-0.20431194940465347</v>
      </c>
      <c r="Z16" s="58">
        <f t="shared" ref="Z16" si="112">Atten_to_Te(Y16,$C16)</f>
        <v>9.1520567192614788</v>
      </c>
      <c r="AA16" s="69">
        <f t="shared" ca="1" si="22"/>
        <v>34.080013783985258</v>
      </c>
      <c r="AB16" s="66" t="e">
        <f t="shared" ca="1" si="23"/>
        <v>#NAME?</v>
      </c>
      <c r="AC16" s="57">
        <f t="shared" si="88"/>
        <v>-0.21475965379020492</v>
      </c>
      <c r="AD16" s="58">
        <f t="shared" ref="AD16" si="113">Atten_to_Te(AC16,$C16)</f>
        <v>9.6317281475578742</v>
      </c>
      <c r="AE16" s="69">
        <f t="shared" ca="1" si="26"/>
        <v>33.46606669871904</v>
      </c>
      <c r="AF16" s="66" t="e">
        <f t="shared" ca="1" si="27"/>
        <v>#NAME?</v>
      </c>
      <c r="AG16" s="57">
        <f t="shared" si="92"/>
        <v>-0.22657010222604568</v>
      </c>
      <c r="AH16" s="58">
        <f t="shared" ref="AH16" si="114">Atten_to_Te(AG16,$C16)</f>
        <v>10.17535675063586</v>
      </c>
      <c r="AI16" s="69">
        <f t="shared" ca="1" si="30"/>
        <v>32.773343906678953</v>
      </c>
      <c r="AJ16" s="66" t="e">
        <f t="shared" ca="1" si="31"/>
        <v>#NAME?</v>
      </c>
      <c r="AK16" s="57">
        <f t="shared" si="96"/>
        <v>-0.23974329471217573</v>
      </c>
      <c r="AL16" s="58">
        <f t="shared" ref="AL16" si="115">Atten_to_Te(AK16,$C16)</f>
        <v>10.783458375346813</v>
      </c>
      <c r="AM16" s="69">
        <f t="shared" ca="1" si="34"/>
        <v>32.576845407865029</v>
      </c>
      <c r="AN16" s="66" t="e">
        <f t="shared" ca="1" si="35"/>
        <v>#NAME?</v>
      </c>
      <c r="AO16" s="57">
        <f t="shared" si="100"/>
        <v>-0.25359347579760477</v>
      </c>
      <c r="AP16" s="58">
        <f t="shared" ref="AP16" si="116">Atten_to_Te(AO16,$C16)</f>
        <v>11.424803450071879</v>
      </c>
      <c r="AQ16" s="69">
        <f t="shared" ca="1" si="38"/>
        <v>32.91759264028812</v>
      </c>
      <c r="AR16" s="66" t="e">
        <f t="shared" ca="1" si="39"/>
        <v>#NAME?</v>
      </c>
      <c r="AS16" s="57">
        <f t="shared" si="104"/>
        <v>-0.2662324031985458</v>
      </c>
      <c r="AT16" s="58">
        <f t="shared" ref="AT16" si="117">Atten_to_Te(AS16,$C16)</f>
        <v>12.011847858930533</v>
      </c>
      <c r="AU16" s="69">
        <f t="shared" ca="1" si="42"/>
        <v>33.470364892192315</v>
      </c>
      <c r="AV16" s="66" t="e">
        <f t="shared" ca="1" si="43"/>
        <v>#NAME?</v>
      </c>
      <c r="AW16" s="406"/>
      <c r="AX16" s="409"/>
      <c r="AY16" s="406"/>
      <c r="AZ16" s="406"/>
    </row>
    <row r="17" spans="1:52" s="10" customFormat="1" ht="16" thickBot="1">
      <c r="A17" s="105" t="s">
        <v>23</v>
      </c>
      <c r="B17" s="100"/>
      <c r="C17" s="100"/>
      <c r="D17" s="94"/>
      <c r="E17" s="95"/>
      <c r="F17" s="85"/>
      <c r="G17" s="88">
        <f ca="1">G16</f>
        <v>34.85972120932167</v>
      </c>
      <c r="H17" s="87" t="e">
        <f ca="1">H16</f>
        <v>#NAME?</v>
      </c>
      <c r="I17" s="85"/>
      <c r="J17" s="85"/>
      <c r="K17" s="88">
        <f ca="1">K16</f>
        <v>35.43345902221467</v>
      </c>
      <c r="L17" s="87" t="e">
        <f ca="1">L16</f>
        <v>#NAME?</v>
      </c>
      <c r="M17" s="85"/>
      <c r="N17" s="85"/>
      <c r="O17" s="88">
        <f ca="1">O16</f>
        <v>35.810420923813091</v>
      </c>
      <c r="P17" s="87" t="e">
        <f ca="1">P16</f>
        <v>#NAME?</v>
      </c>
      <c r="Q17" s="85"/>
      <c r="R17" s="85"/>
      <c r="S17" s="88">
        <f ca="1">S16</f>
        <v>35.653738007670434</v>
      </c>
      <c r="T17" s="87" t="e">
        <f ca="1">T16</f>
        <v>#NAME?</v>
      </c>
      <c r="U17" s="95"/>
      <c r="V17" s="85"/>
      <c r="W17" s="88">
        <f ca="1">W16</f>
        <v>35.042989544751016</v>
      </c>
      <c r="X17" s="87" t="e">
        <f ca="1">X16</f>
        <v>#NAME?</v>
      </c>
      <c r="Y17" s="85"/>
      <c r="Z17" s="85"/>
      <c r="AA17" s="88">
        <f ca="1">AA16</f>
        <v>34.080013783985258</v>
      </c>
      <c r="AB17" s="87" t="e">
        <f ca="1">AB16</f>
        <v>#NAME?</v>
      </c>
      <c r="AC17" s="85"/>
      <c r="AD17" s="85"/>
      <c r="AE17" s="88">
        <f ca="1">AE16</f>
        <v>33.46606669871904</v>
      </c>
      <c r="AF17" s="87" t="e">
        <f ca="1">AF16</f>
        <v>#NAME?</v>
      </c>
      <c r="AG17" s="85"/>
      <c r="AH17" s="85"/>
      <c r="AI17" s="88">
        <f ca="1">AI16</f>
        <v>32.773343906678953</v>
      </c>
      <c r="AJ17" s="87" t="e">
        <f ca="1">AJ16</f>
        <v>#NAME?</v>
      </c>
      <c r="AK17" s="95"/>
      <c r="AL17" s="85"/>
      <c r="AM17" s="88">
        <f ca="1">AM16</f>
        <v>32.576845407865029</v>
      </c>
      <c r="AN17" s="87" t="e">
        <f ca="1">AN16</f>
        <v>#NAME?</v>
      </c>
      <c r="AO17" s="85"/>
      <c r="AP17" s="85"/>
      <c r="AQ17" s="88">
        <f ca="1">AQ16</f>
        <v>32.91759264028812</v>
      </c>
      <c r="AR17" s="87" t="e">
        <f ca="1">AR16</f>
        <v>#NAME?</v>
      </c>
      <c r="AS17" s="85"/>
      <c r="AT17" s="85"/>
      <c r="AU17" s="88">
        <f ca="1">AU16</f>
        <v>33.470364892192315</v>
      </c>
      <c r="AV17" s="87" t="e">
        <f ca="1">AV16</f>
        <v>#NAME?</v>
      </c>
      <c r="AW17" s="406"/>
      <c r="AX17" s="409"/>
      <c r="AY17" s="406"/>
      <c r="AZ17" s="406"/>
    </row>
    <row r="18" spans="1:52" s="10" customFormat="1" ht="20.149999999999999" customHeight="1" thickBot="1">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406"/>
      <c r="AX18" s="409"/>
      <c r="AY18" s="409"/>
      <c r="AZ18" s="406"/>
    </row>
    <row r="19" spans="1:52" s="43" customFormat="1" ht="19.5" customHeight="1" thickBot="1">
      <c r="A19" s="59" t="s">
        <v>229</v>
      </c>
      <c r="B19" s="618" t="s">
        <v>158</v>
      </c>
      <c r="C19" s="618" t="s">
        <v>32</v>
      </c>
      <c r="D19" s="618" t="s">
        <v>33</v>
      </c>
      <c r="E19" s="388">
        <v>2</v>
      </c>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90"/>
      <c r="AW19" s="403"/>
      <c r="AX19" s="403"/>
      <c r="AY19" s="403"/>
      <c r="AZ19" s="403"/>
    </row>
    <row r="20" spans="1:52" s="44" customFormat="1" ht="18.5" thickBot="1">
      <c r="A20" s="70" t="s">
        <v>7</v>
      </c>
      <c r="B20" s="619"/>
      <c r="C20" s="619"/>
      <c r="D20" s="619"/>
      <c r="E20" s="612">
        <f>fLO_Band2+Delta_F</f>
        <v>3.4099999999999997</v>
      </c>
      <c r="F20" s="613"/>
      <c r="G20" s="613"/>
      <c r="H20" s="614"/>
      <c r="I20" s="612">
        <v>3.88</v>
      </c>
      <c r="J20" s="613"/>
      <c r="K20" s="613"/>
      <c r="L20" s="614"/>
      <c r="M20" s="612">
        <v>4.4000000000000004</v>
      </c>
      <c r="N20" s="613"/>
      <c r="O20" s="613"/>
      <c r="P20" s="614"/>
      <c r="Q20" s="612">
        <v>5</v>
      </c>
      <c r="R20" s="613"/>
      <c r="S20" s="613"/>
      <c r="T20" s="614"/>
      <c r="U20" s="612">
        <v>5.7</v>
      </c>
      <c r="V20" s="613"/>
      <c r="W20" s="613"/>
      <c r="X20" s="614"/>
      <c r="Y20" s="612">
        <v>6.45</v>
      </c>
      <c r="Z20" s="613"/>
      <c r="AA20" s="613"/>
      <c r="AB20" s="614"/>
      <c r="AC20" s="612">
        <v>7.35</v>
      </c>
      <c r="AD20" s="613"/>
      <c r="AE20" s="613"/>
      <c r="AF20" s="614"/>
      <c r="AG20" s="612">
        <v>8.35</v>
      </c>
      <c r="AH20" s="613"/>
      <c r="AI20" s="613"/>
      <c r="AJ20" s="614"/>
      <c r="AK20" s="612">
        <v>9.5</v>
      </c>
      <c r="AL20" s="613"/>
      <c r="AM20" s="613"/>
      <c r="AN20" s="614"/>
      <c r="AO20" s="612">
        <v>10.8</v>
      </c>
      <c r="AP20" s="613"/>
      <c r="AQ20" s="613"/>
      <c r="AR20" s="614"/>
      <c r="AS20" s="612">
        <f>fHI_Band2-Delta_F</f>
        <v>12.290000000000001</v>
      </c>
      <c r="AT20" s="613"/>
      <c r="AU20" s="613"/>
      <c r="AV20" s="614"/>
      <c r="AW20" s="404"/>
      <c r="AX20" s="404"/>
      <c r="AY20" s="404"/>
      <c r="AZ20" s="404"/>
    </row>
    <row r="21" spans="1:52" s="11" customFormat="1" ht="17.25" customHeight="1" thickTop="1" thickBot="1">
      <c r="A21" s="60" t="s">
        <v>20</v>
      </c>
      <c r="B21" s="99" t="s">
        <v>13</v>
      </c>
      <c r="C21" s="99" t="s">
        <v>29</v>
      </c>
      <c r="D21" s="93" t="s">
        <v>30</v>
      </c>
      <c r="E21" s="55" t="s">
        <v>22</v>
      </c>
      <c r="F21" s="45" t="s">
        <v>21</v>
      </c>
      <c r="G21" s="67" t="s">
        <v>24</v>
      </c>
      <c r="H21" s="64" t="s">
        <v>25</v>
      </c>
      <c r="I21" s="56" t="s">
        <v>22</v>
      </c>
      <c r="J21" s="45" t="s">
        <v>21</v>
      </c>
      <c r="K21" s="67" t="s">
        <v>24</v>
      </c>
      <c r="L21" s="64" t="s">
        <v>25</v>
      </c>
      <c r="M21" s="56" t="s">
        <v>22</v>
      </c>
      <c r="N21" s="45" t="s">
        <v>21</v>
      </c>
      <c r="O21" s="67" t="s">
        <v>24</v>
      </c>
      <c r="P21" s="64" t="s">
        <v>25</v>
      </c>
      <c r="Q21" s="56" t="s">
        <v>22</v>
      </c>
      <c r="R21" s="45" t="s">
        <v>21</v>
      </c>
      <c r="S21" s="67" t="s">
        <v>24</v>
      </c>
      <c r="T21" s="64" t="s">
        <v>25</v>
      </c>
      <c r="U21" s="56" t="s">
        <v>22</v>
      </c>
      <c r="V21" s="45" t="s">
        <v>21</v>
      </c>
      <c r="W21" s="67" t="s">
        <v>24</v>
      </c>
      <c r="X21" s="64" t="s">
        <v>25</v>
      </c>
      <c r="Y21" s="56" t="s">
        <v>22</v>
      </c>
      <c r="Z21" s="45" t="s">
        <v>21</v>
      </c>
      <c r="AA21" s="67" t="s">
        <v>24</v>
      </c>
      <c r="AB21" s="64" t="s">
        <v>25</v>
      </c>
      <c r="AC21" s="56" t="s">
        <v>22</v>
      </c>
      <c r="AD21" s="45" t="s">
        <v>21</v>
      </c>
      <c r="AE21" s="67" t="s">
        <v>24</v>
      </c>
      <c r="AF21" s="64" t="s">
        <v>25</v>
      </c>
      <c r="AG21" s="56" t="s">
        <v>22</v>
      </c>
      <c r="AH21" s="45" t="s">
        <v>21</v>
      </c>
      <c r="AI21" s="67" t="s">
        <v>24</v>
      </c>
      <c r="AJ21" s="64" t="s">
        <v>25</v>
      </c>
      <c r="AK21" s="56" t="s">
        <v>22</v>
      </c>
      <c r="AL21" s="45" t="s">
        <v>21</v>
      </c>
      <c r="AM21" s="67" t="s">
        <v>24</v>
      </c>
      <c r="AN21" s="64" t="s">
        <v>25</v>
      </c>
      <c r="AO21" s="56" t="s">
        <v>22</v>
      </c>
      <c r="AP21" s="45" t="s">
        <v>21</v>
      </c>
      <c r="AQ21" s="67" t="s">
        <v>24</v>
      </c>
      <c r="AR21" s="64" t="s">
        <v>25</v>
      </c>
      <c r="AS21" s="56" t="s">
        <v>22</v>
      </c>
      <c r="AT21" s="45" t="s">
        <v>21</v>
      </c>
      <c r="AU21" s="67" t="s">
        <v>24</v>
      </c>
      <c r="AV21" s="64" t="s">
        <v>25</v>
      </c>
      <c r="AW21" s="405"/>
      <c r="AX21" s="405"/>
      <c r="AY21" s="405"/>
      <c r="AZ21" s="405"/>
    </row>
    <row r="22" spans="1:52" s="10" customFormat="1" ht="16" thickTop="1">
      <c r="A22" s="77" t="s">
        <v>19</v>
      </c>
      <c r="B22" s="101">
        <v>1</v>
      </c>
      <c r="C22" s="101">
        <f t="shared" ref="C22:C32" si="118">INDEX(Stage_Temp_Table,$B22)</f>
        <v>20</v>
      </c>
      <c r="D22" s="101"/>
      <c r="E22" s="78">
        <v>0</v>
      </c>
      <c r="F22" s="79">
        <v>0</v>
      </c>
      <c r="G22" s="80">
        <v>0</v>
      </c>
      <c r="H22" s="81">
        <v>0</v>
      </c>
      <c r="I22" s="78">
        <v>0</v>
      </c>
      <c r="J22" s="79">
        <v>0</v>
      </c>
      <c r="K22" s="80">
        <v>0</v>
      </c>
      <c r="L22" s="81">
        <v>0</v>
      </c>
      <c r="M22" s="78">
        <v>0</v>
      </c>
      <c r="N22" s="79">
        <v>0</v>
      </c>
      <c r="O22" s="80">
        <v>0</v>
      </c>
      <c r="P22" s="81">
        <v>0</v>
      </c>
      <c r="Q22" s="78">
        <v>0</v>
      </c>
      <c r="R22" s="79">
        <v>0</v>
      </c>
      <c r="S22" s="80">
        <v>0</v>
      </c>
      <c r="T22" s="81">
        <v>0</v>
      </c>
      <c r="U22" s="78">
        <v>0</v>
      </c>
      <c r="V22" s="79">
        <v>0</v>
      </c>
      <c r="W22" s="80">
        <v>0</v>
      </c>
      <c r="X22" s="81">
        <v>0</v>
      </c>
      <c r="Y22" s="78">
        <v>0</v>
      </c>
      <c r="Z22" s="79">
        <v>0</v>
      </c>
      <c r="AA22" s="80">
        <v>0</v>
      </c>
      <c r="AB22" s="81">
        <v>0</v>
      </c>
      <c r="AC22" s="78">
        <v>0</v>
      </c>
      <c r="AD22" s="79">
        <v>0</v>
      </c>
      <c r="AE22" s="80">
        <v>0</v>
      </c>
      <c r="AF22" s="81">
        <v>0</v>
      </c>
      <c r="AG22" s="78">
        <v>0</v>
      </c>
      <c r="AH22" s="79">
        <v>0</v>
      </c>
      <c r="AI22" s="80">
        <v>0</v>
      </c>
      <c r="AJ22" s="81">
        <v>0</v>
      </c>
      <c r="AK22" s="78">
        <v>0</v>
      </c>
      <c r="AL22" s="79">
        <v>0</v>
      </c>
      <c r="AM22" s="80">
        <v>0</v>
      </c>
      <c r="AN22" s="81">
        <v>0</v>
      </c>
      <c r="AO22" s="78">
        <v>0</v>
      </c>
      <c r="AP22" s="79">
        <v>0</v>
      </c>
      <c r="AQ22" s="80">
        <v>0</v>
      </c>
      <c r="AR22" s="81">
        <v>0</v>
      </c>
      <c r="AS22" s="78">
        <v>0</v>
      </c>
      <c r="AT22" s="79">
        <v>0</v>
      </c>
      <c r="AU22" s="80">
        <v>0</v>
      </c>
      <c r="AV22" s="81">
        <v>0</v>
      </c>
      <c r="AW22" s="406"/>
      <c r="AX22" s="406"/>
      <c r="AY22" s="406"/>
      <c r="AZ22" s="406"/>
    </row>
    <row r="23" spans="1:52" s="10" customFormat="1" ht="15.5">
      <c r="A23" s="73" t="s">
        <v>5</v>
      </c>
      <c r="B23" s="102">
        <v>5</v>
      </c>
      <c r="C23" s="102">
        <f t="shared" si="118"/>
        <v>300</v>
      </c>
      <c r="D23" s="103"/>
      <c r="E23" s="71">
        <f>G_Lookup($A23,$E$19, E$20,$D23)</f>
        <v>-0.02</v>
      </c>
      <c r="F23" s="557">
        <f>Atten_to_Te(E23,$C23)</f>
        <v>1.3847370835185613</v>
      </c>
      <c r="G23" s="74">
        <f ca="1">E23+OFFSET(G23,-1,0)</f>
        <v>-0.02</v>
      </c>
      <c r="H23" s="75" t="e">
        <f ca="1">OFFSET(H23,-1,0)+F23*dbToAbs(-1*OFFSET(G23,-1,0))</f>
        <v>#NAME?</v>
      </c>
      <c r="I23" s="71">
        <f>G_Lookup($A23,$E$19, I$20,$D23)</f>
        <v>-0.02</v>
      </c>
      <c r="J23" s="557">
        <f>Atten_to_Te(I23,$C23)</f>
        <v>1.3847370835185613</v>
      </c>
      <c r="K23" s="74">
        <f ca="1">I23+OFFSET(K23,-1,0)</f>
        <v>-0.02</v>
      </c>
      <c r="L23" s="75" t="e">
        <f ca="1">OFFSET(L23,-1,0)+J23*dbToAbs(-1*OFFSET(K23,-1,0))</f>
        <v>#NAME?</v>
      </c>
      <c r="M23" s="71">
        <f>G_Lookup($A23,$E$19, M$20,$D23)</f>
        <v>-2.1000000000000001E-2</v>
      </c>
      <c r="N23" s="557">
        <f>Atten_to_Te(M23,$C23)</f>
        <v>1.4541414739740688</v>
      </c>
      <c r="O23" s="74">
        <f ca="1">M23+OFFSET(O23,-1,0)</f>
        <v>-2.1000000000000001E-2</v>
      </c>
      <c r="P23" s="75" t="e">
        <f ca="1">OFFSET(P23,-1,0)+N23*dbToAbs(-1*OFFSET(O23,-1,0))</f>
        <v>#NAME?</v>
      </c>
      <c r="Q23" s="71">
        <f>G_Lookup($A23,$E$19, Q$20,$D23)</f>
        <v>-2.2499999999999999E-2</v>
      </c>
      <c r="R23" s="557">
        <f>Atten_to_Te(Q23,$C23)</f>
        <v>1.5582780285416042</v>
      </c>
      <c r="S23" s="74">
        <f ca="1">Q23+OFFSET(S23,-1,0)</f>
        <v>-2.2499999999999999E-2</v>
      </c>
      <c r="T23" s="75" t="e">
        <f ca="1">OFFSET(T23,-1,0)+R23*dbToAbs(-1*OFFSET(S23,-1,0))</f>
        <v>#NAME?</v>
      </c>
      <c r="U23" s="71">
        <f>G_Lookup($A23,$E$19, U$20,$D23)</f>
        <v>-2.4250000000000001E-2</v>
      </c>
      <c r="V23" s="557">
        <f>Atten_to_Te(U23,$C23)</f>
        <v>1.6798161431741176</v>
      </c>
      <c r="W23" s="74">
        <f ca="1">U23+OFFSET(W23,-1,0)</f>
        <v>-2.4250000000000001E-2</v>
      </c>
      <c r="X23" s="75" t="e">
        <f ca="1">OFFSET(X23,-1,0)+V23*dbToAbs(-1*OFFSET(W23,-1,0))</f>
        <v>#NAME?</v>
      </c>
      <c r="Y23" s="71">
        <f>G_Lookup($A23,$E$19, Y$20,$D23)</f>
        <v>-2.6124999999999999E-2</v>
      </c>
      <c r="Z23" s="557">
        <f>Atten_to_Te(Y23,$C23)</f>
        <v>1.8100899094114498</v>
      </c>
      <c r="AA23" s="74">
        <f ca="1">Y23+OFFSET(AA23,-1,0)</f>
        <v>-2.6124999999999999E-2</v>
      </c>
      <c r="AB23" s="75" t="e">
        <f ca="1">OFFSET(AB23,-1,0)+Z23*dbToAbs(-1*OFFSET(AA23,-1,0))</f>
        <v>#NAME?</v>
      </c>
      <c r="AC23" s="71">
        <f>G_Lookup($A23,$E$19, AC$20,$D23)</f>
        <v>-2.8374999999999997E-2</v>
      </c>
      <c r="AD23" s="557">
        <f>Atten_to_Te(AC23,$C23)</f>
        <v>1.9664926887544176</v>
      </c>
      <c r="AE23" s="74">
        <f ca="1">AC23+OFFSET(AE23,-1,0)</f>
        <v>-2.8374999999999997E-2</v>
      </c>
      <c r="AF23" s="75" t="e">
        <f ca="1">OFFSET(AF23,-1,0)+AD23*dbToAbs(-1*OFFSET(AE23,-1,0))</f>
        <v>#NAME?</v>
      </c>
      <c r="AG23" s="71">
        <f>G_Lookup($A23,$E$19, AG$20,$D23)</f>
        <v>-0.03</v>
      </c>
      <c r="AH23" s="557">
        <f>Atten_to_Te(AG23,$C23)</f>
        <v>2.0795006555412554</v>
      </c>
      <c r="AI23" s="74">
        <f ca="1">AG23+OFFSET(AI23,-1,0)</f>
        <v>-0.03</v>
      </c>
      <c r="AJ23" s="75" t="e">
        <f ca="1">OFFSET(AJ23,-1,0)+AH23*dbToAbs(-1*OFFSET(AI23,-1,0))</f>
        <v>#NAME?</v>
      </c>
      <c r="AK23" s="71">
        <f>G_Lookup($A23,$E$19, AK$20,$D23)</f>
        <v>-0.03</v>
      </c>
      <c r="AL23" s="557">
        <f>Atten_to_Te(AK23,$C23)</f>
        <v>2.0795006555412554</v>
      </c>
      <c r="AM23" s="74">
        <f ca="1">AK23+OFFSET(AM23,-1,0)</f>
        <v>-0.03</v>
      </c>
      <c r="AN23" s="75" t="e">
        <f ca="1">OFFSET(AN23,-1,0)+AL23*dbToAbs(-1*OFFSET(AM23,-1,0))</f>
        <v>#NAME?</v>
      </c>
      <c r="AO23" s="71">
        <f>G_Lookup($A23,$E$19, AO$20,$D23)</f>
        <v>-0.03</v>
      </c>
      <c r="AP23" s="557">
        <f>Atten_to_Te(AO23,$C23)</f>
        <v>2.0795006555412554</v>
      </c>
      <c r="AQ23" s="74">
        <f ca="1">AO23+OFFSET(AQ23,-1,0)</f>
        <v>-0.03</v>
      </c>
      <c r="AR23" s="75" t="e">
        <f ca="1">OFFSET(AR23,-1,0)+AP23*dbToAbs(-1*OFFSET(AQ23,-1,0))</f>
        <v>#NAME?</v>
      </c>
      <c r="AS23" s="71">
        <f>G_Lookup($A23,$E$19, AS$20,$D23)</f>
        <v>-0.03</v>
      </c>
      <c r="AT23" s="557">
        <f>Atten_to_Te(AS23,$C23)</f>
        <v>2.0795006555412554</v>
      </c>
      <c r="AU23" s="74">
        <f ca="1">AS23+OFFSET(AU23,-1,0)</f>
        <v>-0.03</v>
      </c>
      <c r="AV23" s="75" t="e">
        <f ca="1">OFFSET(AV23,-1,0)+AT23*dbToAbs(-1*OFFSET(AU23,-1,0))</f>
        <v>#NAME?</v>
      </c>
      <c r="AW23" s="406"/>
      <c r="AX23" s="406"/>
      <c r="AY23" s="406"/>
      <c r="AZ23" s="406"/>
    </row>
    <row r="24" spans="1:52" s="10" customFormat="1" ht="15.5">
      <c r="A24" s="61" t="s">
        <v>6</v>
      </c>
      <c r="B24" s="98">
        <v>5</v>
      </c>
      <c r="C24" s="102">
        <f t="shared" si="118"/>
        <v>300</v>
      </c>
      <c r="D24" s="96"/>
      <c r="E24" s="71">
        <f t="shared" ref="E24:E32" si="119">G_Lookup($A24,$E$19, E$20,$D24)</f>
        <v>-0.02</v>
      </c>
      <c r="F24" s="19">
        <f t="shared" ref="F24:F32" si="120">Atten_to_Te(E24,$C24)</f>
        <v>1.3847370835185613</v>
      </c>
      <c r="G24" s="68">
        <f t="shared" ref="G24:G32" ca="1" si="121">E24+OFFSET(G24,-1,0)</f>
        <v>-0.04</v>
      </c>
      <c r="H24" s="65" t="e">
        <f ca="1">OFFSET(H24,-1,0)+F24*dbToAbs(-1*OFFSET(G24,-1,0))</f>
        <v>#NAME?</v>
      </c>
      <c r="I24" s="71">
        <f t="shared" ref="I24:I32" si="122">G_Lookup($A24,$E$19, I$20,$D24)</f>
        <v>-0.02</v>
      </c>
      <c r="J24" s="19">
        <f t="shared" ref="J24:J28" si="123">Atten_to_Te(I24,$C24)</f>
        <v>1.3847370835185613</v>
      </c>
      <c r="K24" s="68">
        <f t="shared" ref="K24:K32" ca="1" si="124">I24+OFFSET(K24,-1,0)</f>
        <v>-0.04</v>
      </c>
      <c r="L24" s="65" t="e">
        <f t="shared" ref="L24:L32" ca="1" si="125">OFFSET(L24,-1,0)+J24*dbToAbs(-1*OFFSET(K24,-1,0))</f>
        <v>#NAME?</v>
      </c>
      <c r="M24" s="71">
        <f t="shared" ref="M24:M32" si="126">G_Lookup($A24,$E$19, M$20,$D24)</f>
        <v>-2.1000000000000001E-2</v>
      </c>
      <c r="N24" s="19">
        <f t="shared" ref="N24:N28" si="127">Atten_to_Te(M24,$C24)</f>
        <v>1.4541414739740688</v>
      </c>
      <c r="O24" s="68">
        <f t="shared" ref="O24:O32" ca="1" si="128">M24+OFFSET(O24,-1,0)</f>
        <v>-4.2000000000000003E-2</v>
      </c>
      <c r="P24" s="65" t="e">
        <f t="shared" ref="P24:P32" ca="1" si="129">OFFSET(P24,-1,0)+N24*dbToAbs(-1*OFFSET(O24,-1,0))</f>
        <v>#NAME?</v>
      </c>
      <c r="Q24" s="71">
        <f t="shared" ref="Q24:Q32" si="130">G_Lookup($A24,$E$19, Q$20,$D24)</f>
        <v>-2.2499999999999999E-2</v>
      </c>
      <c r="R24" s="19">
        <f t="shared" ref="R24:R28" si="131">Atten_to_Te(Q24,$C24)</f>
        <v>1.5582780285416042</v>
      </c>
      <c r="S24" s="68">
        <f t="shared" ref="S24:S32" ca="1" si="132">Q24+OFFSET(S24,-1,0)</f>
        <v>-4.4999999999999998E-2</v>
      </c>
      <c r="T24" s="65" t="e">
        <f t="shared" ref="T24:T32" ca="1" si="133">OFFSET(T24,-1,0)+R24*dbToAbs(-1*OFFSET(S24,-1,0))</f>
        <v>#NAME?</v>
      </c>
      <c r="U24" s="71">
        <f t="shared" ref="U24:U32" si="134">G_Lookup($A24,$E$19, U$20,$D24)</f>
        <v>-2.4250000000000001E-2</v>
      </c>
      <c r="V24" s="19">
        <f t="shared" ref="V24:V28" si="135">Atten_to_Te(U24,$C24)</f>
        <v>1.6798161431741176</v>
      </c>
      <c r="W24" s="68">
        <f t="shared" ref="W24:W32" ca="1" si="136">U24+OFFSET(W24,-1,0)</f>
        <v>-4.8500000000000001E-2</v>
      </c>
      <c r="X24" s="65" t="e">
        <f t="shared" ref="X24:X32" ca="1" si="137">OFFSET(X24,-1,0)+V24*dbToAbs(-1*OFFSET(W24,-1,0))</f>
        <v>#NAME?</v>
      </c>
      <c r="Y24" s="71">
        <f t="shared" ref="Y24:Y32" si="138">G_Lookup($A24,$E$19, Y$20,$D24)</f>
        <v>-2.6124999999999999E-2</v>
      </c>
      <c r="Z24" s="19">
        <f t="shared" ref="Z24:Z28" si="139">Atten_to_Te(Y24,$C24)</f>
        <v>1.8100899094114498</v>
      </c>
      <c r="AA24" s="68">
        <f t="shared" ref="AA24:AA32" ca="1" si="140">Y24+OFFSET(AA24,-1,0)</f>
        <v>-5.2249999999999998E-2</v>
      </c>
      <c r="AB24" s="65" t="e">
        <f t="shared" ref="AB24:AB32" ca="1" si="141">OFFSET(AB24,-1,0)+Z24*dbToAbs(-1*OFFSET(AA24,-1,0))</f>
        <v>#NAME?</v>
      </c>
      <c r="AC24" s="71">
        <f t="shared" ref="AC24:AC32" si="142">G_Lookup($A24,$E$19, AC$20,$D24)</f>
        <v>-2.8374999999999997E-2</v>
      </c>
      <c r="AD24" s="19">
        <f t="shared" ref="AD24:AD28" si="143">Atten_to_Te(AC24,$C24)</f>
        <v>1.9664926887544176</v>
      </c>
      <c r="AE24" s="68">
        <f t="shared" ref="AE24:AE32" ca="1" si="144">AC24+OFFSET(AE24,-1,0)</f>
        <v>-5.6749999999999995E-2</v>
      </c>
      <c r="AF24" s="65" t="e">
        <f t="shared" ref="AF24:AF32" ca="1" si="145">OFFSET(AF24,-1,0)+AD24*dbToAbs(-1*OFFSET(AE24,-1,0))</f>
        <v>#NAME?</v>
      </c>
      <c r="AG24" s="71">
        <f t="shared" ref="AG24:AG32" si="146">G_Lookup($A24,$E$19, AG$20,$D24)</f>
        <v>-0.03</v>
      </c>
      <c r="AH24" s="19">
        <f t="shared" ref="AH24:AH28" si="147">Atten_to_Te(AG24,$C24)</f>
        <v>2.0795006555412554</v>
      </c>
      <c r="AI24" s="68">
        <f t="shared" ref="AI24:AI32" ca="1" si="148">AG24+OFFSET(AI24,-1,0)</f>
        <v>-0.06</v>
      </c>
      <c r="AJ24" s="65" t="e">
        <f t="shared" ref="AJ24:AJ32" ca="1" si="149">OFFSET(AJ24,-1,0)+AH24*dbToAbs(-1*OFFSET(AI24,-1,0))</f>
        <v>#NAME?</v>
      </c>
      <c r="AK24" s="71">
        <f t="shared" ref="AK24:AK32" si="150">G_Lookup($A24,$E$19, AK$20,$D24)</f>
        <v>-0.03</v>
      </c>
      <c r="AL24" s="19">
        <f t="shared" ref="AL24:AL28" si="151">Atten_to_Te(AK24,$C24)</f>
        <v>2.0795006555412554</v>
      </c>
      <c r="AM24" s="68">
        <f t="shared" ref="AM24:AM32" ca="1" si="152">AK24+OFFSET(AM24,-1,0)</f>
        <v>-0.06</v>
      </c>
      <c r="AN24" s="65" t="e">
        <f t="shared" ref="AN24:AN32" ca="1" si="153">OFFSET(AN24,-1,0)+AL24*dbToAbs(-1*OFFSET(AM24,-1,0))</f>
        <v>#NAME?</v>
      </c>
      <c r="AO24" s="71">
        <f t="shared" ref="AO24:AO30" si="154">G_Lookup($A24,$E$19, AO$20,$D24)</f>
        <v>-0.03</v>
      </c>
      <c r="AP24" s="19">
        <f t="shared" ref="AP24:AP28" si="155">Atten_to_Te(AO24,$C24)</f>
        <v>2.0795006555412554</v>
      </c>
      <c r="AQ24" s="68">
        <f t="shared" ref="AQ24:AQ32" ca="1" si="156">AO24+OFFSET(AQ24,-1,0)</f>
        <v>-0.06</v>
      </c>
      <c r="AR24" s="65" t="e">
        <f t="shared" ref="AR24:AR32" ca="1" si="157">OFFSET(AR24,-1,0)+AP24*dbToAbs(-1*OFFSET(AQ24,-1,0))</f>
        <v>#NAME?</v>
      </c>
      <c r="AS24" s="71">
        <f t="shared" ref="AS24:AS28" si="158">G_Lookup($A24,$E$19, AS$20,$D24)</f>
        <v>-0.03</v>
      </c>
      <c r="AT24" s="19">
        <f t="shared" ref="AT24:AT28" si="159">Atten_to_Te(AS24,$C24)</f>
        <v>2.0795006555412554</v>
      </c>
      <c r="AU24" s="68">
        <f t="shared" ref="AU24:AU32" ca="1" si="160">AS24+OFFSET(AU24,-1,0)</f>
        <v>-0.06</v>
      </c>
      <c r="AV24" s="65" t="e">
        <f t="shared" ref="AV24:AV32" ca="1" si="161">OFFSET(AV24,-1,0)+AT24*dbToAbs(-1*OFFSET(AU24,-1,0))</f>
        <v>#NAME?</v>
      </c>
      <c r="AW24" s="406"/>
      <c r="AX24" s="406"/>
      <c r="AY24" s="406"/>
      <c r="AZ24" s="406"/>
    </row>
    <row r="25" spans="1:52" s="10" customFormat="1" ht="15.5">
      <c r="A25" s="61" t="s">
        <v>8</v>
      </c>
      <c r="B25" s="98">
        <v>4</v>
      </c>
      <c r="C25" s="102">
        <f t="shared" si="118"/>
        <v>190</v>
      </c>
      <c r="D25" s="96"/>
      <c r="E25" s="71">
        <f t="shared" si="119"/>
        <v>-0.02</v>
      </c>
      <c r="F25" s="19">
        <f t="shared" si="120"/>
        <v>0.87700015289508881</v>
      </c>
      <c r="G25" s="68">
        <f t="shared" ca="1" si="121"/>
        <v>-0.06</v>
      </c>
      <c r="H25" s="65" t="e">
        <f t="shared" ref="H25:H32" ca="1" si="162">OFFSET(H25,-1,0)+F25*dbToAbs(-1*OFFSET(G25,-1,0))</f>
        <v>#NAME?</v>
      </c>
      <c r="I25" s="71">
        <f t="shared" si="122"/>
        <v>-0.02</v>
      </c>
      <c r="J25" s="19">
        <f t="shared" si="123"/>
        <v>0.87700015289508881</v>
      </c>
      <c r="K25" s="68">
        <f t="shared" ca="1" si="124"/>
        <v>-0.06</v>
      </c>
      <c r="L25" s="65" t="e">
        <f t="shared" ca="1" si="125"/>
        <v>#NAME?</v>
      </c>
      <c r="M25" s="71">
        <f t="shared" si="126"/>
        <v>-2.1000000000000001E-2</v>
      </c>
      <c r="N25" s="19">
        <f t="shared" si="127"/>
        <v>0.92095626685024357</v>
      </c>
      <c r="O25" s="68">
        <f t="shared" ca="1" si="128"/>
        <v>-6.3E-2</v>
      </c>
      <c r="P25" s="65" t="e">
        <f t="shared" ca="1" si="129"/>
        <v>#NAME?</v>
      </c>
      <c r="Q25" s="71">
        <f t="shared" si="130"/>
        <v>-2.2499999999999999E-2</v>
      </c>
      <c r="R25" s="19">
        <f t="shared" si="131"/>
        <v>0.98690941807634935</v>
      </c>
      <c r="S25" s="68">
        <f t="shared" ca="1" si="132"/>
        <v>-6.7500000000000004E-2</v>
      </c>
      <c r="T25" s="65" t="e">
        <f t="shared" ca="1" si="133"/>
        <v>#NAME?</v>
      </c>
      <c r="U25" s="71">
        <f t="shared" si="134"/>
        <v>-2.4250000000000001E-2</v>
      </c>
      <c r="V25" s="19">
        <f t="shared" si="135"/>
        <v>1.0638835573436078</v>
      </c>
      <c r="W25" s="68">
        <f t="shared" ca="1" si="136"/>
        <v>-7.2750000000000009E-2</v>
      </c>
      <c r="X25" s="65" t="e">
        <f t="shared" ca="1" si="137"/>
        <v>#NAME?</v>
      </c>
      <c r="Y25" s="71">
        <f t="shared" si="138"/>
        <v>-2.6124999999999999E-2</v>
      </c>
      <c r="Z25" s="19">
        <f t="shared" si="139"/>
        <v>1.1463902759605848</v>
      </c>
      <c r="AA25" s="68">
        <f t="shared" ca="1" si="140"/>
        <v>-7.8375E-2</v>
      </c>
      <c r="AB25" s="65" t="e">
        <f t="shared" ca="1" si="141"/>
        <v>#NAME?</v>
      </c>
      <c r="AC25" s="71">
        <f t="shared" si="142"/>
        <v>-2.8374999999999997E-2</v>
      </c>
      <c r="AD25" s="19">
        <f t="shared" si="143"/>
        <v>1.2454453695444645</v>
      </c>
      <c r="AE25" s="68">
        <f t="shared" ca="1" si="144"/>
        <v>-8.5124999999999992E-2</v>
      </c>
      <c r="AF25" s="65" t="e">
        <f t="shared" ca="1" si="145"/>
        <v>#NAME?</v>
      </c>
      <c r="AG25" s="71">
        <f t="shared" si="146"/>
        <v>-0.03</v>
      </c>
      <c r="AH25" s="19">
        <f t="shared" si="147"/>
        <v>1.3170170818427951</v>
      </c>
      <c r="AI25" s="68">
        <f t="shared" ca="1" si="148"/>
        <v>-0.09</v>
      </c>
      <c r="AJ25" s="65" t="e">
        <f t="shared" ca="1" si="149"/>
        <v>#NAME?</v>
      </c>
      <c r="AK25" s="71">
        <f t="shared" si="150"/>
        <v>-0.03</v>
      </c>
      <c r="AL25" s="19">
        <f t="shared" si="151"/>
        <v>1.3170170818427951</v>
      </c>
      <c r="AM25" s="68">
        <f t="shared" ca="1" si="152"/>
        <v>-0.09</v>
      </c>
      <c r="AN25" s="65" t="e">
        <f t="shared" ca="1" si="153"/>
        <v>#NAME?</v>
      </c>
      <c r="AO25" s="71">
        <f t="shared" si="154"/>
        <v>-0.03</v>
      </c>
      <c r="AP25" s="19">
        <f t="shared" si="155"/>
        <v>1.3170170818427951</v>
      </c>
      <c r="AQ25" s="68">
        <f t="shared" ca="1" si="156"/>
        <v>-0.09</v>
      </c>
      <c r="AR25" s="65" t="e">
        <f t="shared" ca="1" si="157"/>
        <v>#NAME?</v>
      </c>
      <c r="AS25" s="71">
        <f t="shared" si="158"/>
        <v>-0.03</v>
      </c>
      <c r="AT25" s="19">
        <f t="shared" si="159"/>
        <v>1.3170170818427951</v>
      </c>
      <c r="AU25" s="68">
        <f t="shared" ca="1" si="160"/>
        <v>-0.09</v>
      </c>
      <c r="AV25" s="65" t="e">
        <f t="shared" ca="1" si="161"/>
        <v>#NAME?</v>
      </c>
      <c r="AW25" s="406"/>
      <c r="AX25" s="406"/>
      <c r="AY25" s="406"/>
      <c r="AZ25" s="406"/>
    </row>
    <row r="26" spans="1:52" s="10" customFormat="1" ht="15.5">
      <c r="A26" s="61" t="s">
        <v>9</v>
      </c>
      <c r="B26" s="98">
        <v>1</v>
      </c>
      <c r="C26" s="102">
        <f t="shared" si="118"/>
        <v>20</v>
      </c>
      <c r="D26" s="96"/>
      <c r="E26" s="71">
        <f t="shared" si="119"/>
        <v>-0.13</v>
      </c>
      <c r="F26" s="19">
        <f t="shared" si="120"/>
        <v>0.60772240883232076</v>
      </c>
      <c r="G26" s="68">
        <f t="shared" ca="1" si="121"/>
        <v>-0.19</v>
      </c>
      <c r="H26" s="65" t="e">
        <f t="shared" ca="1" si="162"/>
        <v>#NAME?</v>
      </c>
      <c r="I26" s="71">
        <f t="shared" si="122"/>
        <v>-0.14593220338983051</v>
      </c>
      <c r="J26" s="19">
        <f t="shared" si="123"/>
        <v>0.68346120187625647</v>
      </c>
      <c r="K26" s="68">
        <f t="shared" ca="1" si="124"/>
        <v>-0.20593220338983051</v>
      </c>
      <c r="L26" s="65" t="e">
        <f t="shared" ca="1" si="125"/>
        <v>#NAME?</v>
      </c>
      <c r="M26" s="71">
        <f t="shared" si="126"/>
        <v>-0.155</v>
      </c>
      <c r="N26" s="19">
        <f t="shared" si="127"/>
        <v>0.72669208862084389</v>
      </c>
      <c r="O26" s="68">
        <f t="shared" ca="1" si="128"/>
        <v>-0.218</v>
      </c>
      <c r="P26" s="65" t="e">
        <f t="shared" ca="1" si="129"/>
        <v>#NAME?</v>
      </c>
      <c r="Q26" s="71">
        <f t="shared" si="130"/>
        <v>-0.16250000000000001</v>
      </c>
      <c r="R26" s="19">
        <f t="shared" si="131"/>
        <v>0.76251674238286604</v>
      </c>
      <c r="S26" s="68">
        <f t="shared" ca="1" si="132"/>
        <v>-0.23</v>
      </c>
      <c r="T26" s="65" t="e">
        <f t="shared" ca="1" si="133"/>
        <v>#NAME?</v>
      </c>
      <c r="U26" s="71">
        <f t="shared" si="134"/>
        <v>-0.17125000000000001</v>
      </c>
      <c r="V26" s="19">
        <f t="shared" si="135"/>
        <v>0.80439043983550285</v>
      </c>
      <c r="W26" s="68">
        <f t="shared" ca="1" si="136"/>
        <v>-0.24400000000000002</v>
      </c>
      <c r="X26" s="65" t="e">
        <f t="shared" ca="1" si="137"/>
        <v>#NAME?</v>
      </c>
      <c r="Y26" s="71">
        <f t="shared" si="138"/>
        <v>-0.18062500000000001</v>
      </c>
      <c r="Z26" s="19">
        <f t="shared" si="139"/>
        <v>0.84934883446486253</v>
      </c>
      <c r="AA26" s="68">
        <f t="shared" ca="1" si="140"/>
        <v>-0.25900000000000001</v>
      </c>
      <c r="AB26" s="65" t="e">
        <f t="shared" ca="1" si="141"/>
        <v>#NAME?</v>
      </c>
      <c r="AC26" s="71">
        <f t="shared" si="142"/>
        <v>-0.19187500000000002</v>
      </c>
      <c r="AD26" s="19">
        <f t="shared" si="143"/>
        <v>0.90342717151274066</v>
      </c>
      <c r="AE26" s="68">
        <f t="shared" ca="1" si="144"/>
        <v>-0.27700000000000002</v>
      </c>
      <c r="AF26" s="65" t="e">
        <f t="shared" ca="1" si="145"/>
        <v>#NAME?</v>
      </c>
      <c r="AG26" s="71">
        <f t="shared" si="146"/>
        <v>-0.20815850815850817</v>
      </c>
      <c r="AH26" s="19">
        <f t="shared" si="147"/>
        <v>0.98194993766369087</v>
      </c>
      <c r="AI26" s="68">
        <f t="shared" ca="1" si="148"/>
        <v>-0.2981585081585082</v>
      </c>
      <c r="AJ26" s="65" t="e">
        <f t="shared" ca="1" si="149"/>
        <v>#NAME?</v>
      </c>
      <c r="AK26" s="71">
        <f t="shared" si="150"/>
        <v>-0.23496503496503496</v>
      </c>
      <c r="AL26" s="19">
        <f t="shared" si="151"/>
        <v>1.1118600921157196</v>
      </c>
      <c r="AM26" s="68">
        <f t="shared" ca="1" si="152"/>
        <v>-0.32496503496503493</v>
      </c>
      <c r="AN26" s="65" t="e">
        <f t="shared" ca="1" si="153"/>
        <v>#NAME?</v>
      </c>
      <c r="AO26" s="71">
        <f t="shared" si="154"/>
        <v>-0.26526806526806529</v>
      </c>
      <c r="AP26" s="19">
        <f t="shared" si="155"/>
        <v>1.2596838643125841</v>
      </c>
      <c r="AQ26" s="68">
        <f t="shared" ca="1" si="156"/>
        <v>-0.35526806526806531</v>
      </c>
      <c r="AR26" s="65" t="e">
        <f t="shared" ca="1" si="157"/>
        <v>#NAME?</v>
      </c>
      <c r="AS26" s="71">
        <f t="shared" si="158"/>
        <v>-0.3</v>
      </c>
      <c r="AT26" s="19">
        <f t="shared" si="159"/>
        <v>1.4303861047521282</v>
      </c>
      <c r="AU26" s="68">
        <f t="shared" ca="1" si="160"/>
        <v>-0.39</v>
      </c>
      <c r="AV26" s="65" t="e">
        <f t="shared" ca="1" si="161"/>
        <v>#NAME?</v>
      </c>
      <c r="AW26" s="406"/>
      <c r="AX26" s="406"/>
      <c r="AY26" s="406"/>
      <c r="AZ26" s="406"/>
    </row>
    <row r="27" spans="1:52" s="10" customFormat="1" ht="15.5">
      <c r="A27" s="61" t="s">
        <v>35</v>
      </c>
      <c r="B27" s="98">
        <v>1</v>
      </c>
      <c r="C27" s="102">
        <f t="shared" si="118"/>
        <v>20</v>
      </c>
      <c r="D27" s="96">
        <v>0.1</v>
      </c>
      <c r="E27" s="71">
        <f t="shared" si="119"/>
        <v>-7.3515572220101896E-2</v>
      </c>
      <c r="F27" s="19">
        <f t="shared" si="120"/>
        <v>0.34143339003071205</v>
      </c>
      <c r="G27" s="68">
        <f t="shared" ca="1" si="121"/>
        <v>-0.26351557222010191</v>
      </c>
      <c r="H27" s="65" t="e">
        <f t="shared" ca="1" si="162"/>
        <v>#NAME?</v>
      </c>
      <c r="I27" s="71">
        <f t="shared" si="122"/>
        <v>-7.9054902824427509E-2</v>
      </c>
      <c r="J27" s="19">
        <f t="shared" si="123"/>
        <v>0.36739499416801547</v>
      </c>
      <c r="K27" s="68">
        <f t="shared" ca="1" si="124"/>
        <v>-0.28498710621425805</v>
      </c>
      <c r="L27" s="65" t="e">
        <f t="shared" ca="1" si="125"/>
        <v>#NAME?</v>
      </c>
      <c r="M27" s="71">
        <f t="shared" si="126"/>
        <v>-8.4694477794400841E-2</v>
      </c>
      <c r="N27" s="19">
        <f t="shared" si="127"/>
        <v>0.39386046095214677</v>
      </c>
      <c r="O27" s="68">
        <f t="shared" ca="1" si="128"/>
        <v>-0.30269447779440084</v>
      </c>
      <c r="P27" s="65" t="e">
        <f t="shared" ca="1" si="129"/>
        <v>#NAME?</v>
      </c>
      <c r="Q27" s="71">
        <f t="shared" si="130"/>
        <v>-9.1032394486002075E-2</v>
      </c>
      <c r="R27" s="19">
        <f t="shared" si="131"/>
        <v>0.42364415711858783</v>
      </c>
      <c r="S27" s="68">
        <f t="shared" ca="1" si="132"/>
        <v>-0.32103239448600207</v>
      </c>
      <c r="T27" s="65" t="e">
        <f t="shared" ca="1" si="133"/>
        <v>#NAME?</v>
      </c>
      <c r="U27" s="71">
        <f t="shared" si="134"/>
        <v>-9.8426630626203493E-2</v>
      </c>
      <c r="V27" s="19">
        <f t="shared" si="135"/>
        <v>0.45844678228236901</v>
      </c>
      <c r="W27" s="68">
        <f t="shared" ca="1" si="136"/>
        <v>-0.34242663062620349</v>
      </c>
      <c r="X27" s="65" t="e">
        <f t="shared" ca="1" si="137"/>
        <v>#NAME?</v>
      </c>
      <c r="Y27" s="71">
        <f t="shared" si="138"/>
        <v>-0.10579803019078976</v>
      </c>
      <c r="Z27" s="19">
        <f t="shared" si="139"/>
        <v>0.49320095236589978</v>
      </c>
      <c r="AA27" s="68">
        <f t="shared" ca="1" si="140"/>
        <v>-0.36479803019078977</v>
      </c>
      <c r="AB27" s="65" t="e">
        <f t="shared" ca="1" si="141"/>
        <v>#NAME?</v>
      </c>
      <c r="AC27" s="71">
        <f t="shared" si="142"/>
        <v>-0.11420291262836102</v>
      </c>
      <c r="AD27" s="19">
        <f t="shared" si="143"/>
        <v>0.53289975814045487</v>
      </c>
      <c r="AE27" s="68">
        <f t="shared" ca="1" si="144"/>
        <v>-0.39120291262836104</v>
      </c>
      <c r="AF27" s="65" t="e">
        <f t="shared" ca="1" si="145"/>
        <v>#NAME?</v>
      </c>
      <c r="AG27" s="71">
        <f t="shared" si="146"/>
        <v>-0.12317053338657076</v>
      </c>
      <c r="AH27" s="19">
        <f t="shared" si="147"/>
        <v>0.57534135027168087</v>
      </c>
      <c r="AI27" s="68">
        <f t="shared" ca="1" si="148"/>
        <v>-0.42132904154507894</v>
      </c>
      <c r="AJ27" s="65" t="e">
        <f t="shared" ca="1" si="149"/>
        <v>#NAME?</v>
      </c>
      <c r="AK27" s="71">
        <f t="shared" si="150"/>
        <v>-0.13269065358549947</v>
      </c>
      <c r="AL27" s="19">
        <f t="shared" si="151"/>
        <v>0.62049379424299111</v>
      </c>
      <c r="AM27" s="68">
        <f t="shared" ca="1" si="152"/>
        <v>-0.4576556885505344</v>
      </c>
      <c r="AN27" s="65" t="e">
        <f t="shared" ca="1" si="153"/>
        <v>#NAME?</v>
      </c>
      <c r="AO27" s="71">
        <f t="shared" si="154"/>
        <v>-0.14345252859298413</v>
      </c>
      <c r="AP27" s="19">
        <f t="shared" si="155"/>
        <v>0.67165501495808133</v>
      </c>
      <c r="AQ27" s="68">
        <f t="shared" ca="1" si="156"/>
        <v>-0.49872059386104944</v>
      </c>
      <c r="AR27" s="65" t="e">
        <f t="shared" ca="1" si="157"/>
        <v>#NAME?</v>
      </c>
      <c r="AS27" s="71">
        <f t="shared" si="158"/>
        <v>-0.15553620894947773</v>
      </c>
      <c r="AT27" s="19">
        <f t="shared" si="159"/>
        <v>0.72925130232874391</v>
      </c>
      <c r="AU27" s="68">
        <f t="shared" ca="1" si="160"/>
        <v>-0.54553620894947774</v>
      </c>
      <c r="AV27" s="65" t="e">
        <f t="shared" ca="1" si="161"/>
        <v>#NAME?</v>
      </c>
      <c r="AW27" s="406"/>
      <c r="AX27" s="406"/>
      <c r="AY27" s="406"/>
      <c r="AZ27" s="406"/>
    </row>
    <row r="28" spans="1:52" s="10" customFormat="1" ht="15.5">
      <c r="A28" s="61" t="s">
        <v>289</v>
      </c>
      <c r="B28" s="98">
        <v>1</v>
      </c>
      <c r="C28" s="102">
        <f t="shared" si="118"/>
        <v>20</v>
      </c>
      <c r="D28" s="96"/>
      <c r="E28" s="71">
        <f t="shared" si="119"/>
        <v>-0.15</v>
      </c>
      <c r="F28" s="19">
        <f t="shared" si="120"/>
        <v>0.70284333358687778</v>
      </c>
      <c r="G28" s="68">
        <f t="shared" ca="1" si="121"/>
        <v>-0.41351557222010193</v>
      </c>
      <c r="H28" s="65" t="e">
        <f t="shared" ca="1" si="162"/>
        <v>#NAME?</v>
      </c>
      <c r="I28" s="71">
        <f t="shared" si="122"/>
        <v>-0.17</v>
      </c>
      <c r="J28" s="19">
        <f t="shared" si="123"/>
        <v>0.79840331658118657</v>
      </c>
      <c r="K28" s="68">
        <f t="shared" ca="1" si="124"/>
        <v>-0.45498710621425809</v>
      </c>
      <c r="L28" s="65" t="e">
        <f t="shared" ca="1" si="125"/>
        <v>#NAME?</v>
      </c>
      <c r="M28" s="71">
        <f t="shared" si="126"/>
        <v>-0.18</v>
      </c>
      <c r="N28" s="19">
        <f t="shared" si="127"/>
        <v>0.84634858786608369</v>
      </c>
      <c r="O28" s="68">
        <f t="shared" ca="1" si="128"/>
        <v>-0.48269447779440083</v>
      </c>
      <c r="P28" s="65" t="e">
        <f t="shared" ca="1" si="129"/>
        <v>#NAME?</v>
      </c>
      <c r="Q28" s="71">
        <f t="shared" si="130"/>
        <v>-0.18</v>
      </c>
      <c r="R28" s="19">
        <f t="shared" si="131"/>
        <v>0.84634858786608369</v>
      </c>
      <c r="S28" s="68">
        <f t="shared" ca="1" si="132"/>
        <v>-0.50103239448600201</v>
      </c>
      <c r="T28" s="65" t="e">
        <f t="shared" ca="1" si="133"/>
        <v>#NAME?</v>
      </c>
      <c r="U28" s="71">
        <f t="shared" si="134"/>
        <v>-0.19</v>
      </c>
      <c r="V28" s="19">
        <f t="shared" si="135"/>
        <v>0.89440438441600101</v>
      </c>
      <c r="W28" s="68">
        <f t="shared" ca="1" si="136"/>
        <v>-0.53242663062620355</v>
      </c>
      <c r="X28" s="65" t="e">
        <f t="shared" ca="1" si="137"/>
        <v>#NAME?</v>
      </c>
      <c r="Y28" s="71">
        <f t="shared" si="138"/>
        <v>-0.2</v>
      </c>
      <c r="Z28" s="19">
        <f t="shared" si="139"/>
        <v>0.9425709610179922</v>
      </c>
      <c r="AA28" s="68">
        <f t="shared" ca="1" si="140"/>
        <v>-0.56479803019078978</v>
      </c>
      <c r="AB28" s="65" t="e">
        <f t="shared" ca="1" si="141"/>
        <v>#NAME?</v>
      </c>
      <c r="AC28" s="71">
        <f t="shared" si="142"/>
        <v>-0.22</v>
      </c>
      <c r="AD28" s="19">
        <f t="shared" si="143"/>
        <v>1.0392374764644563</v>
      </c>
      <c r="AE28" s="68">
        <f t="shared" ca="1" si="144"/>
        <v>-0.61120291262836102</v>
      </c>
      <c r="AF28" s="65" t="e">
        <f t="shared" ca="1" si="145"/>
        <v>#NAME?</v>
      </c>
      <c r="AG28" s="71">
        <f t="shared" si="146"/>
        <v>-0.23</v>
      </c>
      <c r="AH28" s="19">
        <f t="shared" si="147"/>
        <v>1.0877379278251764</v>
      </c>
      <c r="AI28" s="68">
        <f t="shared" ca="1" si="148"/>
        <v>-0.65132904154507898</v>
      </c>
      <c r="AJ28" s="65" t="e">
        <f t="shared" ca="1" si="149"/>
        <v>#NAME?</v>
      </c>
      <c r="AK28" s="71">
        <f t="shared" si="150"/>
        <v>-0.26</v>
      </c>
      <c r="AL28" s="19">
        <f t="shared" si="151"/>
        <v>1.233911143974491</v>
      </c>
      <c r="AM28" s="68">
        <f t="shared" ca="1" si="152"/>
        <v>-0.71765568855053441</v>
      </c>
      <c r="AN28" s="65" t="e">
        <f t="shared" ca="1" si="153"/>
        <v>#NAME?</v>
      </c>
      <c r="AO28" s="71">
        <f t="shared" si="154"/>
        <v>-0.28000000000000003</v>
      </c>
      <c r="AP28" s="19">
        <f t="shared" si="155"/>
        <v>1.3319224246051586</v>
      </c>
      <c r="AQ28" s="68">
        <f t="shared" ca="1" si="156"/>
        <v>-0.77872059386104953</v>
      </c>
      <c r="AR28" s="65" t="e">
        <f t="shared" ca="1" si="157"/>
        <v>#NAME?</v>
      </c>
      <c r="AS28" s="71">
        <f t="shared" si="158"/>
        <v>-0.31</v>
      </c>
      <c r="AT28" s="19">
        <f t="shared" si="159"/>
        <v>1.4797882468248957</v>
      </c>
      <c r="AU28" s="68">
        <f t="shared" ca="1" si="160"/>
        <v>-0.85553620894947779</v>
      </c>
      <c r="AV28" s="65" t="e">
        <f t="shared" ca="1" si="161"/>
        <v>#NAME?</v>
      </c>
      <c r="AW28" s="406"/>
      <c r="AX28" s="406"/>
      <c r="AY28" s="406"/>
      <c r="AZ28" s="406"/>
    </row>
    <row r="29" spans="1:52" s="17" customFormat="1" ht="15.5">
      <c r="A29" s="63" t="s">
        <v>165</v>
      </c>
      <c r="B29" s="98">
        <v>4</v>
      </c>
      <c r="C29" s="102">
        <f t="shared" si="118"/>
        <v>190</v>
      </c>
      <c r="D29" s="97"/>
      <c r="E29" s="113">
        <f>G_Lookup($A29,$E$3, E$4,$D29)</f>
        <v>0</v>
      </c>
      <c r="F29" s="115">
        <f>T_LNA($A29,E$20,$C29)</f>
        <v>0.16933767824541174</v>
      </c>
      <c r="G29" s="68">
        <f t="shared" ca="1" si="121"/>
        <v>-0.41351557222010193</v>
      </c>
      <c r="H29" s="65" t="e">
        <f t="shared" ca="1" si="162"/>
        <v>#NAME?</v>
      </c>
      <c r="I29" s="113">
        <f>G_Lookup($A29,$E$3, I$4,$D29)</f>
        <v>0</v>
      </c>
      <c r="J29" s="115">
        <f>T_LNA($A29,I$20,$C29)</f>
        <v>0.16933767824541174</v>
      </c>
      <c r="K29" s="68">
        <f t="shared" ca="1" si="124"/>
        <v>-0.45498710621425809</v>
      </c>
      <c r="L29" s="65" t="e">
        <f t="shared" ca="1" si="125"/>
        <v>#NAME?</v>
      </c>
      <c r="M29" s="113">
        <f>G_Lookup($A29,$E$3, M$4,$D29)</f>
        <v>0</v>
      </c>
      <c r="N29" s="115">
        <f>T_LNA($A29,M$20,$C29)</f>
        <v>0.19</v>
      </c>
      <c r="O29" s="68">
        <f t="shared" ca="1" si="128"/>
        <v>-0.48269447779440083</v>
      </c>
      <c r="P29" s="65" t="e">
        <f t="shared" ca="1" si="129"/>
        <v>#NAME?</v>
      </c>
      <c r="Q29" s="113">
        <f>G_Lookup($A29,$E$3, Q$4,$D29)</f>
        <v>0</v>
      </c>
      <c r="R29" s="115">
        <f>T_LNA($A29,Q$20,$C29)</f>
        <v>0.19</v>
      </c>
      <c r="S29" s="68">
        <f t="shared" ca="1" si="132"/>
        <v>-0.50103239448600201</v>
      </c>
      <c r="T29" s="65" t="e">
        <f t="shared" ca="1" si="133"/>
        <v>#NAME?</v>
      </c>
      <c r="U29" s="113">
        <f>G_Lookup($A29,$E$3, U$4,$D29)</f>
        <v>0</v>
      </c>
      <c r="V29" s="115">
        <f>T_LNA($A29,U$20,$C29)</f>
        <v>0.18567507198160393</v>
      </c>
      <c r="W29" s="68">
        <f t="shared" ca="1" si="136"/>
        <v>-0.53242663062620355</v>
      </c>
      <c r="X29" s="65" t="e">
        <f t="shared" ca="1" si="137"/>
        <v>#NAME?</v>
      </c>
      <c r="Y29" s="113">
        <f>G_Lookup($A29,$E$3, Y$4,$D29)</f>
        <v>0</v>
      </c>
      <c r="Z29" s="115">
        <f>T_LNA($A29,Y$20,$C29)</f>
        <v>0.18144859134407282</v>
      </c>
      <c r="AA29" s="68">
        <f t="shared" ca="1" si="140"/>
        <v>-0.56479803019078978</v>
      </c>
      <c r="AB29" s="65" t="e">
        <f t="shared" ca="1" si="141"/>
        <v>#NAME?</v>
      </c>
      <c r="AC29" s="113">
        <f>G_Lookup($A29,$E$3, AC$4,$D29)</f>
        <v>0</v>
      </c>
      <c r="AD29" s="115">
        <f>T_LNA($A29,AC$20,$C29)</f>
        <v>0.18144859134407282</v>
      </c>
      <c r="AE29" s="68">
        <f t="shared" ca="1" si="144"/>
        <v>-0.61120291262836102</v>
      </c>
      <c r="AF29" s="65" t="e">
        <f t="shared" ca="1" si="145"/>
        <v>#NAME?</v>
      </c>
      <c r="AG29" s="113">
        <f>G_Lookup($A29,$E$3, AG$4,$D29)</f>
        <v>0</v>
      </c>
      <c r="AH29" s="115">
        <f>T_LNA($A29,AG$20,$C29)</f>
        <v>0.18567507198160393</v>
      </c>
      <c r="AI29" s="68">
        <f t="shared" ca="1" si="148"/>
        <v>-0.65132904154507898</v>
      </c>
      <c r="AJ29" s="65" t="e">
        <f t="shared" ca="1" si="149"/>
        <v>#NAME?</v>
      </c>
      <c r="AK29" s="113">
        <f>G_Lookup($A29,$E$3, AK$4,$D29)</f>
        <v>0</v>
      </c>
      <c r="AL29" s="115">
        <f>T_LNA($A29,AK$20,$C29)</f>
        <v>0.19442566853334337</v>
      </c>
      <c r="AM29" s="68">
        <f t="shared" ca="1" si="152"/>
        <v>-0.71765568855053441</v>
      </c>
      <c r="AN29" s="65" t="e">
        <f t="shared" ca="1" si="153"/>
        <v>#NAME?</v>
      </c>
      <c r="AO29" s="113">
        <f>G_Lookup($A29,$E$3, AO$4,$D29)</f>
        <v>0</v>
      </c>
      <c r="AP29" s="115">
        <f>T_LNA($A29,AO$20,$C29)</f>
        <v>0.19442566853334337</v>
      </c>
      <c r="AQ29" s="68">
        <f t="shared" ca="1" si="156"/>
        <v>-0.77872059386104953</v>
      </c>
      <c r="AR29" s="65" t="e">
        <f t="shared" ca="1" si="157"/>
        <v>#NAME?</v>
      </c>
      <c r="AS29" s="113">
        <f>G_Lookup($A29,$E$3, AS$4,$D29)</f>
        <v>0</v>
      </c>
      <c r="AT29" s="115">
        <f>T_LNA($A29,AS$20,$C29)</f>
        <v>0.18144859134407282</v>
      </c>
      <c r="AU29" s="68">
        <f t="shared" ca="1" si="160"/>
        <v>-0.85553620894947779</v>
      </c>
      <c r="AV29" s="65" t="e">
        <f t="shared" ca="1" si="161"/>
        <v>#NAME?</v>
      </c>
      <c r="AW29" s="407"/>
      <c r="AX29" s="408"/>
      <c r="AY29" s="408"/>
      <c r="AZ29" s="408"/>
    </row>
    <row r="30" spans="1:52" s="17" customFormat="1" ht="15.5">
      <c r="A30" s="63" t="s">
        <v>54</v>
      </c>
      <c r="B30" s="98">
        <v>1</v>
      </c>
      <c r="C30" s="102">
        <f t="shared" si="118"/>
        <v>20</v>
      </c>
      <c r="D30" s="97"/>
      <c r="E30" s="114">
        <f>G_Lookup($A30,$E$19, E$20,$D30)</f>
        <v>37.938000000000002</v>
      </c>
      <c r="F30" s="115">
        <f>T_LNA($A30,E$20)</f>
        <v>4.8251000000000008</v>
      </c>
      <c r="G30" s="68">
        <f t="shared" ca="1" si="121"/>
        <v>37.524484427779903</v>
      </c>
      <c r="H30" s="65" t="e">
        <f t="shared" ca="1" si="162"/>
        <v>#NAME?</v>
      </c>
      <c r="I30" s="114">
        <f t="shared" si="122"/>
        <v>38.024000000000001</v>
      </c>
      <c r="J30" s="115">
        <f>T_LNA($A30,I$20)</f>
        <v>3.9188399999999999</v>
      </c>
      <c r="K30" s="68">
        <f t="shared" ca="1" si="124"/>
        <v>37.569012893785739</v>
      </c>
      <c r="L30" s="65" t="e">
        <f t="shared" ca="1" si="125"/>
        <v>#NAME?</v>
      </c>
      <c r="M30" s="114">
        <f t="shared" si="126"/>
        <v>37.519999999999996</v>
      </c>
      <c r="N30" s="115">
        <f>T_LNA($A30,M$20)</f>
        <v>3.0961999999999992</v>
      </c>
      <c r="O30" s="68">
        <f t="shared" ca="1" si="128"/>
        <v>37.037305522205592</v>
      </c>
      <c r="P30" s="65" t="e">
        <f t="shared" ca="1" si="129"/>
        <v>#NAME?</v>
      </c>
      <c r="Q30" s="114">
        <f t="shared" si="130"/>
        <v>37.4</v>
      </c>
      <c r="R30" s="115">
        <f>T_LNA($A30,Q$20)</f>
        <v>2.7119999999999997</v>
      </c>
      <c r="S30" s="68">
        <f t="shared" ca="1" si="132"/>
        <v>36.898967605513995</v>
      </c>
      <c r="T30" s="65" t="e">
        <f t="shared" ca="1" si="133"/>
        <v>#NAME?</v>
      </c>
      <c r="U30" s="114">
        <f t="shared" si="134"/>
        <v>37.26</v>
      </c>
      <c r="V30" s="115">
        <f>T_LNA($A30,U$20)</f>
        <v>2.7571999999999997</v>
      </c>
      <c r="W30" s="68">
        <f t="shared" ca="1" si="136"/>
        <v>36.727573369373793</v>
      </c>
      <c r="X30" s="65" t="e">
        <f t="shared" ca="1" si="137"/>
        <v>#NAME?</v>
      </c>
      <c r="Y30" s="114">
        <f t="shared" si="138"/>
        <v>37.11</v>
      </c>
      <c r="Z30" s="115">
        <f>T_LNA($A30,Y$20)</f>
        <v>2.7232999999999996</v>
      </c>
      <c r="AA30" s="68">
        <f t="shared" ca="1" si="140"/>
        <v>36.545201969809213</v>
      </c>
      <c r="AB30" s="65" t="e">
        <f t="shared" ca="1" si="141"/>
        <v>#NAME?</v>
      </c>
      <c r="AC30" s="114">
        <f t="shared" si="142"/>
        <v>37.339999999999996</v>
      </c>
      <c r="AD30" s="115">
        <f>T_LNA($A30,AC$20)</f>
        <v>2.7119999999999997</v>
      </c>
      <c r="AE30" s="68">
        <f t="shared" ca="1" si="144"/>
        <v>36.728797087371632</v>
      </c>
      <c r="AF30" s="65" t="e">
        <f t="shared" ca="1" si="145"/>
        <v>#NAME?</v>
      </c>
      <c r="AG30" s="114">
        <f t="shared" si="146"/>
        <v>37.265000000000001</v>
      </c>
      <c r="AH30" s="115">
        <f>T_LNA($A30,AG$20)</f>
        <v>2.9831999999999996</v>
      </c>
      <c r="AI30" s="68">
        <f t="shared" ca="1" si="148"/>
        <v>36.613670958454918</v>
      </c>
      <c r="AJ30" s="65" t="e">
        <f t="shared" ca="1" si="149"/>
        <v>#NAME?</v>
      </c>
      <c r="AK30" s="114">
        <f t="shared" si="150"/>
        <v>37.35</v>
      </c>
      <c r="AL30" s="115">
        <f>T_LNA($A30,AK$20)</f>
        <v>3.2204999999999995</v>
      </c>
      <c r="AM30" s="68">
        <f t="shared" ca="1" si="152"/>
        <v>36.632344311449465</v>
      </c>
      <c r="AN30" s="65" t="e">
        <f t="shared" ca="1" si="153"/>
        <v>#NAME?</v>
      </c>
      <c r="AO30" s="114">
        <f t="shared" si="154"/>
        <v>37.5</v>
      </c>
      <c r="AP30" s="115">
        <f>T_LNA($A30,AO$20)</f>
        <v>3.4352</v>
      </c>
      <c r="AQ30" s="68">
        <f t="shared" ca="1" si="156"/>
        <v>36.721279406138947</v>
      </c>
      <c r="AR30" s="65" t="e">
        <f t="shared" ca="1" si="157"/>
        <v>#NAME?</v>
      </c>
      <c r="AS30" s="114">
        <f>G_Lookup($A30,$E$19, AS$20,$D30)</f>
        <v>38.029000000000003</v>
      </c>
      <c r="AT30" s="115">
        <f>T_LNA($A30,AS$20)</f>
        <v>3.9696899999999995</v>
      </c>
      <c r="AU30" s="68">
        <f t="shared" ca="1" si="160"/>
        <v>37.173463791050523</v>
      </c>
      <c r="AV30" s="65" t="e">
        <f t="shared" ca="1" si="161"/>
        <v>#NAME?</v>
      </c>
      <c r="AW30" s="407"/>
      <c r="AX30" s="408"/>
      <c r="AY30" s="408"/>
      <c r="AZ30" s="408"/>
    </row>
    <row r="31" spans="1:52" s="10" customFormat="1" ht="15.5">
      <c r="A31" s="541" t="s">
        <v>34</v>
      </c>
      <c r="B31" s="96">
        <v>2</v>
      </c>
      <c r="C31" s="103">
        <f t="shared" si="118"/>
        <v>50</v>
      </c>
      <c r="D31" s="539">
        <v>0.1</v>
      </c>
      <c r="E31" s="530">
        <f t="shared" si="119"/>
        <v>-0.26316842079831765</v>
      </c>
      <c r="F31" s="531">
        <f t="shared" ref="F31" si="163">Atten_to_Te(E31,$C31)</f>
        <v>3.1235203008309398</v>
      </c>
      <c r="G31" s="532">
        <f t="shared" ref="G31" ca="1" si="164">E31+OFFSET(G31,-1,0)</f>
        <v>37.261316006981588</v>
      </c>
      <c r="H31" s="533" t="e">
        <f t="shared" ref="H31" ca="1" si="165">OFFSET(H31,-1,0)+F31*dbToAbs(-1*OFFSET(G31,-1,0))</f>
        <v>#NAME?</v>
      </c>
      <c r="I31" s="530">
        <f t="shared" si="122"/>
        <v>-0.28116931739965784</v>
      </c>
      <c r="J31" s="531">
        <f t="shared" ref="J31" si="166">Atten_to_Te(I31,$C31)</f>
        <v>3.3441667933427843</v>
      </c>
      <c r="K31" s="532">
        <f t="shared" ref="K31" ca="1" si="167">I31+OFFSET(K31,-1,0)</f>
        <v>37.287843576386081</v>
      </c>
      <c r="L31" s="533" t="e">
        <f t="shared" ref="L31" ca="1" si="168">OFFSET(L31,-1,0)+J31*dbToAbs(-1*OFFSET(K31,-1,0))</f>
        <v>#NAME?</v>
      </c>
      <c r="M31" s="530">
        <f t="shared" si="126"/>
        <v>-0.29926389040404622</v>
      </c>
      <c r="N31" s="531">
        <f t="shared" ref="N31" si="169">Atten_to_Te(M31,$C31)</f>
        <v>3.5668851464953688</v>
      </c>
      <c r="O31" s="532">
        <f t="shared" ref="O31" ca="1" si="170">M31+OFFSET(O31,-1,0)</f>
        <v>36.738041631801543</v>
      </c>
      <c r="P31" s="533" t="e">
        <f t="shared" ref="P31" ca="1" si="171">OFFSET(P31,-1,0)+N31*dbToAbs(-1*OFFSET(O31,-1,0))</f>
        <v>#NAME?</v>
      </c>
      <c r="Q31" s="530">
        <f t="shared" si="130"/>
        <v>-0.3195117895101155</v>
      </c>
      <c r="R31" s="531">
        <f t="shared" ref="R31" si="172">Atten_to_Te(Q31,$C31)</f>
        <v>3.8172105001860412</v>
      </c>
      <c r="S31" s="532">
        <f t="shared" ref="S31" ca="1" si="173">Q31+OFFSET(S31,-1,0)</f>
        <v>36.579455816003879</v>
      </c>
      <c r="T31" s="533" t="e">
        <f t="shared" ref="T31" ca="1" si="174">OFFSET(T31,-1,0)+R31*dbToAbs(-1*OFFSET(S31,-1,0))</f>
        <v>#NAME?</v>
      </c>
      <c r="U31" s="530">
        <f t="shared" si="134"/>
        <v>-0.34087030287660403</v>
      </c>
      <c r="V31" s="531">
        <f t="shared" ref="V31" si="175">Atten_to_Te(U31,$C31)</f>
        <v>4.0825343292056342</v>
      </c>
      <c r="W31" s="532">
        <f t="shared" ref="W31" ca="1" si="176">U31+OFFSET(W31,-1,0)</f>
        <v>36.386703066497191</v>
      </c>
      <c r="X31" s="533" t="e">
        <f t="shared" ref="X31" ca="1" si="177">OFFSET(X31,-1,0)+V31*dbToAbs(-1*OFFSET(W31,-1,0))</f>
        <v>#NAME?</v>
      </c>
      <c r="Y31" s="530">
        <f t="shared" si="138"/>
        <v>-0.3622149820526146</v>
      </c>
      <c r="Z31" s="531">
        <f t="shared" ref="Z31" si="178">Atten_to_Te(Y31,$C31)</f>
        <v>4.3489931035238243</v>
      </c>
      <c r="AA31" s="532">
        <f t="shared" ref="AA31" ca="1" si="179">Y31+OFFSET(AA31,-1,0)</f>
        <v>36.1829869877566</v>
      </c>
      <c r="AB31" s="533" t="e">
        <f t="shared" ref="AB31" ca="1" si="180">OFFSET(AB31,-1,0)+Z31*dbToAbs(-1*OFFSET(AA31,-1,0))</f>
        <v>#NAME?</v>
      </c>
      <c r="AC31" s="530">
        <f t="shared" si="142"/>
        <v>-0.38659704323335986</v>
      </c>
      <c r="AD31" s="531">
        <f t="shared" ref="AD31" si="181">Atten_to_Te(AC31,$C31)</f>
        <v>4.6549760915481242</v>
      </c>
      <c r="AE31" s="532">
        <f t="shared" ref="AE31" ca="1" si="182">AC31+OFFSET(AE31,-1,0)</f>
        <v>36.342200044138274</v>
      </c>
      <c r="AF31" s="533" t="e">
        <f t="shared" ref="AF31" ca="1" si="183">OFFSET(AF31,-1,0)+AD31*dbToAbs(-1*OFFSET(AE31,-1,0))</f>
        <v>#NAME?</v>
      </c>
      <c r="AG31" s="530">
        <f t="shared" si="146"/>
        <v>-0.41256134264601912</v>
      </c>
      <c r="AH31" s="531">
        <f t="shared" ref="AH31" si="184">Atten_to_Te(AG31,$C31)</f>
        <v>4.9827096154992034</v>
      </c>
      <c r="AI31" s="532">
        <f t="shared" ref="AI31" ca="1" si="185">AG31+OFFSET(AI31,-1,0)</f>
        <v>36.201109615808896</v>
      </c>
      <c r="AJ31" s="533" t="e">
        <f t="shared" ref="AJ31" ca="1" si="186">OFFSET(AJ31,-1,0)+AH31*dbToAbs(-1*OFFSET(AI31,-1,0))</f>
        <v>#NAME?</v>
      </c>
      <c r="AK31" s="530">
        <f t="shared" si="150"/>
        <v>-0.44001359394600403</v>
      </c>
      <c r="AL31" s="531">
        <f t="shared" ref="AL31" si="187">Atten_to_Te(AK31,$C31)</f>
        <v>5.3313623925127178</v>
      </c>
      <c r="AM31" s="532">
        <f t="shared" ref="AM31" ca="1" si="188">AK31+OFFSET(AM31,-1,0)</f>
        <v>36.192330717503459</v>
      </c>
      <c r="AN31" s="533" t="e">
        <f t="shared" ref="AN31" ca="1" si="189">OFFSET(AN31,-1,0)+AL31*dbToAbs(-1*OFFSET(AM31,-1,0))</f>
        <v>#NAME?</v>
      </c>
      <c r="AO31" s="530">
        <f t="shared" ref="AO31:AO32" si="190">G_Lookup($A31,$E$19, AO$20,$D31)</f>
        <v>-0.46921695662618684</v>
      </c>
      <c r="AP31" s="531">
        <f t="shared" ref="AP31" si="191">Atten_to_Te(AO31,$C31)</f>
        <v>5.7046820862117986</v>
      </c>
      <c r="AQ31" s="532">
        <f t="shared" ref="AQ31" ca="1" si="192">AO31+OFFSET(AQ31,-1,0)</f>
        <v>36.252062449512763</v>
      </c>
      <c r="AR31" s="533" t="e">
        <f t="shared" ref="AR31" ca="1" si="193">OFFSET(AR31,-1,0)+AP31*dbToAbs(-1*OFFSET(AQ31,-1,0))</f>
        <v>#NAME?</v>
      </c>
      <c r="AS31" s="530">
        <f>G_Lookup($A31,$E$19, AS$20,$D31)</f>
        <v>-0.50087529586015112</v>
      </c>
      <c r="AT31" s="531">
        <f t="shared" ref="AT31" si="194">Atten_to_Te(AS31,$C31)</f>
        <v>6.1122306769050505</v>
      </c>
      <c r="AU31" s="531">
        <f t="shared" ref="AU31" ca="1" si="195">AS31+OFFSET(AU31,-1,0)</f>
        <v>36.672588495190375</v>
      </c>
      <c r="AV31" s="533" t="e">
        <f t="shared" ref="AV31" ca="1" si="196">OFFSET(AV31,-1,0)+AT31*dbToAbs(-1*OFFSET(AU31,-1,0))</f>
        <v>#NAME?</v>
      </c>
      <c r="AW31" s="406"/>
      <c r="AX31" s="406"/>
      <c r="AY31" s="406"/>
      <c r="AZ31" s="406"/>
    </row>
    <row r="32" spans="1:52" s="10" customFormat="1" ht="16" thickBot="1">
      <c r="A32" s="62" t="s">
        <v>34</v>
      </c>
      <c r="B32" s="98">
        <v>4</v>
      </c>
      <c r="C32" s="102">
        <f t="shared" si="118"/>
        <v>190</v>
      </c>
      <c r="D32" s="540">
        <v>0.15</v>
      </c>
      <c r="E32" s="57">
        <f t="shared" si="119"/>
        <v>-0.39475263119747644</v>
      </c>
      <c r="F32" s="58">
        <f t="shared" si="120"/>
        <v>18.079293241174849</v>
      </c>
      <c r="G32" s="69">
        <f t="shared" ca="1" si="121"/>
        <v>36.866563375784111</v>
      </c>
      <c r="H32" s="66" t="e">
        <f t="shared" ca="1" si="162"/>
        <v>#NAME?</v>
      </c>
      <c r="I32" s="57">
        <f t="shared" si="122"/>
        <v>-0.42175397609948678</v>
      </c>
      <c r="J32" s="58">
        <f t="shared" ref="J32" si="197">Atten_to_Te(I32,$C32)</f>
        <v>19.377012398413562</v>
      </c>
      <c r="K32" s="69">
        <f t="shared" ca="1" si="124"/>
        <v>36.866089600286593</v>
      </c>
      <c r="L32" s="66" t="e">
        <f t="shared" ca="1" si="125"/>
        <v>#NAME?</v>
      </c>
      <c r="M32" s="57">
        <f t="shared" si="126"/>
        <v>-0.44889583560606927</v>
      </c>
      <c r="N32" s="58">
        <f t="shared" ref="N32" si="198">Atten_to_Te(M32,$C32)</f>
        <v>20.689641671143693</v>
      </c>
      <c r="O32" s="69">
        <f t="shared" ca="1" si="128"/>
        <v>36.289145796195477</v>
      </c>
      <c r="P32" s="66" t="e">
        <f t="shared" ca="1" si="129"/>
        <v>#NAME?</v>
      </c>
      <c r="Q32" s="57">
        <f t="shared" si="130"/>
        <v>-0.47926768426517319</v>
      </c>
      <c r="R32" s="58">
        <f t="shared" ref="R32" si="199">Atten_to_Te(Q32,$C32)</f>
        <v>22.168237844178961</v>
      </c>
      <c r="S32" s="69">
        <f t="shared" ca="1" si="132"/>
        <v>36.100188131738705</v>
      </c>
      <c r="T32" s="66" t="e">
        <f t="shared" ca="1" si="133"/>
        <v>#NAME?</v>
      </c>
      <c r="U32" s="57">
        <f t="shared" si="134"/>
        <v>-0.51130545431490604</v>
      </c>
      <c r="V32" s="58">
        <f t="shared" ref="V32" si="200">Atten_to_Te(U32,$C32)</f>
        <v>23.739183679539678</v>
      </c>
      <c r="W32" s="69">
        <f t="shared" ca="1" si="136"/>
        <v>35.875397612182283</v>
      </c>
      <c r="X32" s="66" t="e">
        <f t="shared" ca="1" si="137"/>
        <v>#NAME?</v>
      </c>
      <c r="Y32" s="57">
        <f t="shared" si="138"/>
        <v>-0.5433224730789219</v>
      </c>
      <c r="Z32" s="58">
        <f t="shared" ref="Z32" si="201">Atten_to_Te(Y32,$C32)</f>
        <v>25.320732344991328</v>
      </c>
      <c r="AA32" s="69">
        <f t="shared" ca="1" si="140"/>
        <v>35.639664514677676</v>
      </c>
      <c r="AB32" s="66" t="e">
        <f t="shared" ca="1" si="141"/>
        <v>#NAME?</v>
      </c>
      <c r="AC32" s="57">
        <f t="shared" si="142"/>
        <v>-0.57989556485003979</v>
      </c>
      <c r="AD32" s="58">
        <f t="shared" ref="AD32" si="202">Atten_to_Te(AC32,$C32)</f>
        <v>27.14166192393504</v>
      </c>
      <c r="AE32" s="69">
        <f t="shared" ca="1" si="144"/>
        <v>35.762304479288233</v>
      </c>
      <c r="AF32" s="66" t="e">
        <f t="shared" ca="1" si="145"/>
        <v>#NAME?</v>
      </c>
      <c r="AG32" s="57">
        <f t="shared" si="146"/>
        <v>-0.6188420139690286</v>
      </c>
      <c r="AH32" s="58">
        <f t="shared" ref="AH32" si="203">Atten_to_Te(AG32,$C32)</f>
        <v>29.097691834720735</v>
      </c>
      <c r="AI32" s="69">
        <f t="shared" ca="1" si="148"/>
        <v>35.582267601839867</v>
      </c>
      <c r="AJ32" s="66" t="e">
        <f t="shared" ca="1" si="149"/>
        <v>#NAME?</v>
      </c>
      <c r="AK32" s="57">
        <f t="shared" si="150"/>
        <v>-0.66002039091900599</v>
      </c>
      <c r="AL32" s="58">
        <f t="shared" ref="AL32" si="204">Atten_to_Te(AK32,$C32)</f>
        <v>31.184984089447049</v>
      </c>
      <c r="AM32" s="69">
        <f t="shared" ca="1" si="152"/>
        <v>35.532310326584451</v>
      </c>
      <c r="AN32" s="66" t="e">
        <f t="shared" ca="1" si="153"/>
        <v>#NAME?</v>
      </c>
      <c r="AO32" s="57">
        <f t="shared" si="190"/>
        <v>-0.70382543493928018</v>
      </c>
      <c r="AP32" s="58">
        <f t="shared" ref="AP32" si="205">Atten_to_Te(AO32,$C32)</f>
        <v>33.427252213361307</v>
      </c>
      <c r="AQ32" s="69">
        <f t="shared" ca="1" si="156"/>
        <v>35.548237014573481</v>
      </c>
      <c r="AR32" s="66" t="e">
        <f t="shared" ca="1" si="157"/>
        <v>#NAME?</v>
      </c>
      <c r="AS32" s="57">
        <f>G_Lookup($A32,$E$19, AS$20,$D32)</f>
        <v>-0.75131294379022673</v>
      </c>
      <c r="AT32" s="58">
        <f t="shared" ref="AT32" si="206">Atten_to_Te(AS32,$C32)</f>
        <v>35.883701257162471</v>
      </c>
      <c r="AU32" s="58">
        <f t="shared" ca="1" si="160"/>
        <v>35.92127555140015</v>
      </c>
      <c r="AV32" s="66" t="e">
        <f t="shared" ca="1" si="161"/>
        <v>#NAME?</v>
      </c>
      <c r="AW32" s="406"/>
      <c r="AX32" s="406"/>
      <c r="AY32" s="406"/>
      <c r="AZ32" s="406"/>
    </row>
    <row r="33" spans="1:52" s="10" customFormat="1" ht="16" thickBot="1">
      <c r="A33" s="105" t="s">
        <v>23</v>
      </c>
      <c r="B33" s="100"/>
      <c r="C33" s="100"/>
      <c r="D33" s="94"/>
      <c r="E33" s="85"/>
      <c r="F33" s="85"/>
      <c r="G33" s="88">
        <f ca="1">G32</f>
        <v>36.866563375784111</v>
      </c>
      <c r="H33" s="87" t="e">
        <f ca="1">H32</f>
        <v>#NAME?</v>
      </c>
      <c r="I33" s="85"/>
      <c r="J33" s="85"/>
      <c r="K33" s="88">
        <f ca="1">K32</f>
        <v>36.866089600286593</v>
      </c>
      <c r="L33" s="87" t="e">
        <f ca="1">L32</f>
        <v>#NAME?</v>
      </c>
      <c r="M33" s="85"/>
      <c r="N33" s="85"/>
      <c r="O33" s="88">
        <f ca="1">O32</f>
        <v>36.289145796195477</v>
      </c>
      <c r="P33" s="87" t="e">
        <f ca="1">P32</f>
        <v>#NAME?</v>
      </c>
      <c r="Q33" s="85"/>
      <c r="R33" s="85"/>
      <c r="S33" s="88">
        <f ca="1">S32</f>
        <v>36.100188131738705</v>
      </c>
      <c r="T33" s="87" t="e">
        <f ca="1">T32</f>
        <v>#NAME?</v>
      </c>
      <c r="U33" s="85"/>
      <c r="V33" s="85"/>
      <c r="W33" s="88">
        <f ca="1">W32</f>
        <v>35.875397612182283</v>
      </c>
      <c r="X33" s="87" t="e">
        <f ca="1">X32</f>
        <v>#NAME?</v>
      </c>
      <c r="Y33" s="85"/>
      <c r="Z33" s="85"/>
      <c r="AA33" s="88">
        <f ca="1">AA32</f>
        <v>35.639664514677676</v>
      </c>
      <c r="AB33" s="87" t="e">
        <f ca="1">AB32</f>
        <v>#NAME?</v>
      </c>
      <c r="AC33" s="85"/>
      <c r="AD33" s="85"/>
      <c r="AE33" s="88">
        <f ca="1">AE32</f>
        <v>35.762304479288233</v>
      </c>
      <c r="AF33" s="87" t="e">
        <f ca="1">AF32</f>
        <v>#NAME?</v>
      </c>
      <c r="AG33" s="85"/>
      <c r="AH33" s="85"/>
      <c r="AI33" s="88">
        <f ca="1">AI32</f>
        <v>35.582267601839867</v>
      </c>
      <c r="AJ33" s="87" t="e">
        <f ca="1">AJ32</f>
        <v>#NAME?</v>
      </c>
      <c r="AK33" s="85"/>
      <c r="AL33" s="85"/>
      <c r="AM33" s="88">
        <f ca="1">AM32</f>
        <v>35.532310326584451</v>
      </c>
      <c r="AN33" s="87" t="e">
        <f ca="1">AN32</f>
        <v>#NAME?</v>
      </c>
      <c r="AO33" s="85"/>
      <c r="AP33" s="85"/>
      <c r="AQ33" s="88">
        <f ca="1">AQ32</f>
        <v>35.548237014573481</v>
      </c>
      <c r="AR33" s="87" t="e">
        <f ca="1">AR32</f>
        <v>#NAME?</v>
      </c>
      <c r="AS33" s="85"/>
      <c r="AT33" s="85"/>
      <c r="AU33" s="88">
        <f ca="1">AU32</f>
        <v>35.92127555140015</v>
      </c>
      <c r="AV33" s="87" t="e">
        <f ca="1">AV32</f>
        <v>#NAME?</v>
      </c>
      <c r="AW33" s="406"/>
      <c r="AX33" s="406"/>
      <c r="AY33" s="406"/>
      <c r="AZ33" s="406"/>
    </row>
    <row r="34" spans="1:52" s="10" customFormat="1" ht="15.5">
      <c r="AS34" s="9"/>
      <c r="AT34" s="9"/>
      <c r="AU34" s="9"/>
      <c r="AV34" s="9"/>
    </row>
    <row r="35" spans="1:52" s="10" customFormat="1" ht="15.5">
      <c r="E35" s="9"/>
      <c r="F35" s="9"/>
      <c r="G35" s="9"/>
      <c r="H35" s="9"/>
      <c r="I35" s="9"/>
      <c r="J35" s="9"/>
      <c r="K35" s="9"/>
      <c r="L35" s="9"/>
      <c r="M35" s="9"/>
      <c r="N35" s="9"/>
      <c r="O35" s="9"/>
      <c r="P35" s="9"/>
      <c r="Q35" s="9"/>
      <c r="R35" s="9"/>
      <c r="S35" s="9"/>
      <c r="V35" s="9"/>
      <c r="W35" s="9"/>
      <c r="X35" s="9"/>
      <c r="Y35" s="9"/>
      <c r="Z35" s="9"/>
      <c r="AA35" s="9"/>
      <c r="AB35" s="9"/>
      <c r="AC35" s="9"/>
      <c r="AD35" s="9"/>
      <c r="AE35" s="9"/>
      <c r="AH35" s="9"/>
      <c r="AI35" s="9"/>
      <c r="AJ35" s="9"/>
      <c r="AK35" s="9"/>
      <c r="AL35" s="9"/>
      <c r="AM35" s="9"/>
      <c r="AN35" s="9"/>
      <c r="AO35" s="9"/>
      <c r="AP35" s="9"/>
      <c r="AQ35" s="9"/>
      <c r="AR35" s="9"/>
      <c r="AS35" s="9"/>
      <c r="AT35" s="9"/>
      <c r="AU35" s="9"/>
      <c r="AV35" s="9"/>
    </row>
    <row r="36" spans="1:52" s="10" customFormat="1" ht="15.5">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row>
    <row r="37" spans="1:52" s="10" customFormat="1" ht="15.5">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row>
    <row r="38" spans="1:52" s="10" customFormat="1" ht="15.5">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row>
    <row r="39" spans="1:52" s="10" customFormat="1" ht="15.5">
      <c r="E39" s="352"/>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row>
    <row r="40" spans="1:52" s="10" customFormat="1" ht="15.5">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row>
    <row r="41" spans="1:52" s="10" customFormat="1" ht="15.5">
      <c r="E41" s="9"/>
      <c r="F41" s="352"/>
      <c r="G41" s="352"/>
      <c r="H41" s="352"/>
      <c r="I41" s="352"/>
      <c r="J41" s="352"/>
      <c r="K41" s="352"/>
      <c r="L41" s="352"/>
      <c r="M41" s="352"/>
      <c r="N41" s="352"/>
      <c r="O41" s="352"/>
      <c r="P41" s="352"/>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row>
    <row r="42" spans="1:52" s="10" customFormat="1" ht="15.5">
      <c r="E42" s="353"/>
      <c r="F42" s="353"/>
      <c r="G42" s="353"/>
      <c r="H42" s="353"/>
      <c r="I42" s="353"/>
      <c r="J42" s="353"/>
      <c r="K42" s="353"/>
      <c r="L42" s="353"/>
      <c r="M42" s="353"/>
      <c r="N42" s="353"/>
      <c r="O42" s="353"/>
      <c r="P42" s="353"/>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row>
    <row r="43" spans="1:52" s="10" customFormat="1" ht="15.5">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row>
    <row r="44" spans="1:52" s="10" customFormat="1" ht="15.5">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row>
    <row r="45" spans="1:52" s="10" customFormat="1" ht="15.5">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row>
    <row r="46" spans="1:52" s="10" customFormat="1" ht="15.5">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row>
    <row r="47" spans="1:52" s="10" customFormat="1" ht="15.5">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row>
    <row r="48" spans="1:52" s="10" customFormat="1" ht="15.5">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row>
    <row r="49" spans="5:48" s="10" customFormat="1" ht="15.5">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row>
  </sheetData>
  <mergeCells count="29">
    <mergeCell ref="I4:L4"/>
    <mergeCell ref="I20:L20"/>
    <mergeCell ref="M20:P20"/>
    <mergeCell ref="AK4:AN4"/>
    <mergeCell ref="AK20:AN20"/>
    <mergeCell ref="AG4:AJ4"/>
    <mergeCell ref="AG20:AJ20"/>
    <mergeCell ref="Q4:T4"/>
    <mergeCell ref="U4:X4"/>
    <mergeCell ref="Y4:AB4"/>
    <mergeCell ref="Q20:T20"/>
    <mergeCell ref="U20:X20"/>
    <mergeCell ref="Y20:AB20"/>
    <mergeCell ref="AS20:AV20"/>
    <mergeCell ref="A1:AV1"/>
    <mergeCell ref="D3:D4"/>
    <mergeCell ref="D19:D20"/>
    <mergeCell ref="C3:C4"/>
    <mergeCell ref="C19:C20"/>
    <mergeCell ref="E4:H4"/>
    <mergeCell ref="AO4:AR4"/>
    <mergeCell ref="AS4:AV4"/>
    <mergeCell ref="E20:H20"/>
    <mergeCell ref="AO20:AR20"/>
    <mergeCell ref="AC4:AF4"/>
    <mergeCell ref="AC20:AF20"/>
    <mergeCell ref="M4:P4"/>
    <mergeCell ref="B3:B4"/>
    <mergeCell ref="B19:B20"/>
  </mergeCells>
  <conditionalFormatting sqref="B6:C12 B14:C14 B22:C28 B30:C30 B16:C16 B32:C32">
    <cfRule type="cellIs" dxfId="284" priority="46" operator="equal">
      <formula>Temp_20K_Stage</formula>
    </cfRule>
    <cfRule type="cellIs" dxfId="283" priority="47" operator="equal">
      <formula>Temp_Inter_Stage</formula>
    </cfRule>
    <cfRule type="cellIs" dxfId="282" priority="48" operator="equal">
      <formula>Temp_80K_Stage</formula>
    </cfRule>
    <cfRule type="cellIs" dxfId="281" priority="49" operator="equal">
      <formula>Temp_Intermediate</formula>
    </cfRule>
    <cfRule type="cellIs" dxfId="280" priority="50" operator="equal">
      <formula>Temp_Ambient</formula>
    </cfRule>
  </conditionalFormatting>
  <conditionalFormatting sqref="B13:C13">
    <cfRule type="cellIs" dxfId="279" priority="16" operator="equal">
      <formula>Temp_20K_Stage</formula>
    </cfRule>
    <cfRule type="cellIs" dxfId="278" priority="17" operator="equal">
      <formula>Temp_Inter_Stage</formula>
    </cfRule>
    <cfRule type="cellIs" dxfId="277" priority="18" operator="equal">
      <formula>Temp_80K_Stage</formula>
    </cfRule>
    <cfRule type="cellIs" dxfId="276" priority="19" operator="equal">
      <formula>Temp_Intermediate</formula>
    </cfRule>
    <cfRule type="cellIs" dxfId="275" priority="20" operator="equal">
      <formula>Temp_Ambient</formula>
    </cfRule>
  </conditionalFormatting>
  <conditionalFormatting sqref="B29:C29">
    <cfRule type="cellIs" dxfId="274" priority="11" operator="equal">
      <formula>Temp_20K_Stage</formula>
    </cfRule>
    <cfRule type="cellIs" dxfId="273" priority="12" operator="equal">
      <formula>Temp_Inter_Stage</formula>
    </cfRule>
    <cfRule type="cellIs" dxfId="272" priority="13" operator="equal">
      <formula>Temp_80K_Stage</formula>
    </cfRule>
    <cfRule type="cellIs" dxfId="271" priority="14" operator="equal">
      <formula>Temp_Intermediate</formula>
    </cfRule>
    <cfRule type="cellIs" dxfId="270" priority="15" operator="equal">
      <formula>Temp_Ambient</formula>
    </cfRule>
  </conditionalFormatting>
  <conditionalFormatting sqref="B15:C15">
    <cfRule type="cellIs" dxfId="269" priority="6" operator="equal">
      <formula>Temp_20K_Stage</formula>
    </cfRule>
    <cfRule type="cellIs" dxfId="268" priority="7" operator="equal">
      <formula>Temp_Inter_Stage</formula>
    </cfRule>
    <cfRule type="cellIs" dxfId="267" priority="8" operator="equal">
      <formula>Temp_80K_Stage</formula>
    </cfRule>
    <cfRule type="cellIs" dxfId="266" priority="9" operator="equal">
      <formula>Temp_Intermediate</formula>
    </cfRule>
    <cfRule type="cellIs" dxfId="265" priority="10" operator="equal">
      <formula>Temp_Ambient</formula>
    </cfRule>
  </conditionalFormatting>
  <conditionalFormatting sqref="B31:C31">
    <cfRule type="cellIs" dxfId="264" priority="1" operator="equal">
      <formula>Temp_20K_Stage</formula>
    </cfRule>
    <cfRule type="cellIs" dxfId="263" priority="2" operator="equal">
      <formula>Temp_Inter_Stage</formula>
    </cfRule>
    <cfRule type="cellIs" dxfId="262" priority="3" operator="equal">
      <formula>Temp_80K_Stage</formula>
    </cfRule>
    <cfRule type="cellIs" dxfId="261" priority="4" operator="equal">
      <formula>Temp_Intermediate</formula>
    </cfRule>
    <cfRule type="cellIs" dxfId="260" priority="5" operator="equal">
      <formula>Temp_Ambient</formula>
    </cfRule>
  </conditionalFormatting>
  <dataValidations count="2">
    <dataValidation type="list" allowBlank="1" showInputMessage="1" showErrorMessage="1" sqref="A7:A16 A23:A32" xr:uid="{00000000-0002-0000-0200-000000000000}">
      <formula1>Component_List</formula1>
    </dataValidation>
    <dataValidation type="list" allowBlank="1" showInputMessage="1" showErrorMessage="1" sqref="B6:B16 B22:B32" xr:uid="{00000000-0002-0000-0200-000001000000}">
      <formula1>"1,2,3,4,5"</formula1>
    </dataValidation>
  </dataValidations>
  <pageMargins left="0.7" right="0.7" top="0.75" bottom="0.75" header="0.3" footer="0.3"/>
  <pageSetup scale="2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UpdateAll">
                <anchor moveWithCells="1" sizeWithCells="1">
                  <from>
                    <xdr:col>0</xdr:col>
                    <xdr:colOff>57150</xdr:colOff>
                    <xdr:row>1</xdr:row>
                    <xdr:rowOff>38100</xdr:rowOff>
                  </from>
                  <to>
                    <xdr:col>0</xdr:col>
                    <xdr:colOff>1346200</xdr:colOff>
                    <xdr:row>1</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theme="1"/>
    <pageSetUpPr fitToPage="1"/>
  </sheetPr>
  <dimension ref="A1:AZ92"/>
  <sheetViews>
    <sheetView zoomScale="80" zoomScaleNormal="80" workbookViewId="0">
      <pane xSplit="4" ySplit="1" topLeftCell="E2" activePane="bottomRight" state="frozen"/>
      <selection pane="topRight" activeCell="D1" sqref="D1"/>
      <selection pane="bottomLeft" activeCell="A2" sqref="A2"/>
      <selection pane="bottomRight" activeCell="B2" sqref="B2"/>
    </sheetView>
  </sheetViews>
  <sheetFormatPr defaultRowHeight="13"/>
  <cols>
    <col min="1" max="1" width="20.7265625" customWidth="1"/>
    <col min="2" max="4" width="6.7265625" customWidth="1"/>
    <col min="5" max="48" width="7.7265625" style="1" customWidth="1"/>
    <col min="49" max="52" width="7.7265625" customWidth="1"/>
  </cols>
  <sheetData>
    <row r="1" spans="1:52" s="46" customFormat="1" ht="18">
      <c r="A1" s="615" t="s">
        <v>66</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7"/>
    </row>
    <row r="2" spans="1:52" s="10" customFormat="1" ht="20.149999999999999" customHeight="1" thickBot="1">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row>
    <row r="3" spans="1:52" s="43" customFormat="1" ht="19.5" customHeight="1" thickBot="1">
      <c r="A3" s="59" t="s">
        <v>230</v>
      </c>
      <c r="B3" s="618" t="s">
        <v>158</v>
      </c>
      <c r="C3" s="618" t="s">
        <v>32</v>
      </c>
      <c r="D3" s="618" t="s">
        <v>61</v>
      </c>
      <c r="E3" s="391">
        <v>3</v>
      </c>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3"/>
      <c r="AW3" s="403"/>
      <c r="AX3" s="403"/>
      <c r="AY3" s="403"/>
      <c r="AZ3" s="403"/>
    </row>
    <row r="4" spans="1:52" s="44" customFormat="1" ht="18.5" thickBot="1">
      <c r="A4" s="70" t="s">
        <v>7</v>
      </c>
      <c r="B4" s="619"/>
      <c r="C4" s="619"/>
      <c r="D4" s="619"/>
      <c r="E4" s="613">
        <f>fLO_Band3+Delta_F</f>
        <v>12.31</v>
      </c>
      <c r="F4" s="613"/>
      <c r="G4" s="613"/>
      <c r="H4" s="614"/>
      <c r="I4" s="612">
        <v>12.94</v>
      </c>
      <c r="J4" s="613"/>
      <c r="K4" s="613"/>
      <c r="L4" s="614"/>
      <c r="M4" s="612">
        <v>13.6</v>
      </c>
      <c r="N4" s="613"/>
      <c r="O4" s="613"/>
      <c r="P4" s="614"/>
      <c r="Q4" s="612">
        <v>14.35</v>
      </c>
      <c r="R4" s="613"/>
      <c r="S4" s="613"/>
      <c r="T4" s="614"/>
      <c r="U4" s="612">
        <v>15.1</v>
      </c>
      <c r="V4" s="613"/>
      <c r="W4" s="613"/>
      <c r="X4" s="614"/>
      <c r="Y4" s="612">
        <v>15.9</v>
      </c>
      <c r="Z4" s="613"/>
      <c r="AA4" s="613"/>
      <c r="AB4" s="614"/>
      <c r="AC4" s="612">
        <v>16.7</v>
      </c>
      <c r="AD4" s="613"/>
      <c r="AE4" s="613"/>
      <c r="AF4" s="614"/>
      <c r="AG4" s="612">
        <v>17.600000000000001</v>
      </c>
      <c r="AH4" s="613"/>
      <c r="AI4" s="613"/>
      <c r="AJ4" s="614"/>
      <c r="AK4" s="612">
        <v>18.5</v>
      </c>
      <c r="AL4" s="613"/>
      <c r="AM4" s="613"/>
      <c r="AN4" s="614"/>
      <c r="AO4" s="612">
        <v>19.5</v>
      </c>
      <c r="AP4" s="613"/>
      <c r="AQ4" s="613"/>
      <c r="AR4" s="614"/>
      <c r="AS4" s="612">
        <f>fHI_Band3</f>
        <v>20.5</v>
      </c>
      <c r="AT4" s="613"/>
      <c r="AU4" s="613"/>
      <c r="AV4" s="614"/>
      <c r="AW4" s="404"/>
      <c r="AX4" s="404"/>
      <c r="AY4" s="404"/>
      <c r="AZ4" s="404"/>
    </row>
    <row r="5" spans="1:52" s="11" customFormat="1" ht="16.5" thickTop="1" thickBot="1">
      <c r="A5" s="60" t="s">
        <v>20</v>
      </c>
      <c r="B5" s="99" t="s">
        <v>13</v>
      </c>
      <c r="C5" s="99" t="s">
        <v>29</v>
      </c>
      <c r="D5" s="99" t="s">
        <v>30</v>
      </c>
      <c r="E5" s="55" t="s">
        <v>22</v>
      </c>
      <c r="F5" s="45" t="s">
        <v>21</v>
      </c>
      <c r="G5" s="67" t="s">
        <v>24</v>
      </c>
      <c r="H5" s="64" t="s">
        <v>25</v>
      </c>
      <c r="I5" s="56" t="s">
        <v>22</v>
      </c>
      <c r="J5" s="45" t="s">
        <v>21</v>
      </c>
      <c r="K5" s="67" t="s">
        <v>24</v>
      </c>
      <c r="L5" s="64" t="s">
        <v>25</v>
      </c>
      <c r="M5" s="56" t="s">
        <v>22</v>
      </c>
      <c r="N5" s="45" t="s">
        <v>21</v>
      </c>
      <c r="O5" s="67" t="s">
        <v>24</v>
      </c>
      <c r="P5" s="64" t="s">
        <v>25</v>
      </c>
      <c r="Q5" s="56" t="s">
        <v>22</v>
      </c>
      <c r="R5" s="45" t="s">
        <v>21</v>
      </c>
      <c r="S5" s="67" t="s">
        <v>24</v>
      </c>
      <c r="T5" s="64" t="s">
        <v>25</v>
      </c>
      <c r="U5" s="56" t="s">
        <v>22</v>
      </c>
      <c r="V5" s="45" t="s">
        <v>21</v>
      </c>
      <c r="W5" s="67" t="s">
        <v>24</v>
      </c>
      <c r="X5" s="64" t="s">
        <v>25</v>
      </c>
      <c r="Y5" s="56" t="s">
        <v>22</v>
      </c>
      <c r="Z5" s="45" t="s">
        <v>21</v>
      </c>
      <c r="AA5" s="67" t="s">
        <v>24</v>
      </c>
      <c r="AB5" s="64" t="s">
        <v>25</v>
      </c>
      <c r="AC5" s="56" t="s">
        <v>22</v>
      </c>
      <c r="AD5" s="45" t="s">
        <v>21</v>
      </c>
      <c r="AE5" s="67" t="s">
        <v>24</v>
      </c>
      <c r="AF5" s="64" t="s">
        <v>25</v>
      </c>
      <c r="AG5" s="56" t="s">
        <v>22</v>
      </c>
      <c r="AH5" s="45" t="s">
        <v>21</v>
      </c>
      <c r="AI5" s="67" t="s">
        <v>24</v>
      </c>
      <c r="AJ5" s="64" t="s">
        <v>25</v>
      </c>
      <c r="AK5" s="56" t="s">
        <v>22</v>
      </c>
      <c r="AL5" s="45" t="s">
        <v>21</v>
      </c>
      <c r="AM5" s="67" t="s">
        <v>24</v>
      </c>
      <c r="AN5" s="64" t="s">
        <v>25</v>
      </c>
      <c r="AO5" s="56" t="s">
        <v>22</v>
      </c>
      <c r="AP5" s="45" t="s">
        <v>21</v>
      </c>
      <c r="AQ5" s="67" t="s">
        <v>24</v>
      </c>
      <c r="AR5" s="64" t="s">
        <v>25</v>
      </c>
      <c r="AS5" s="56" t="s">
        <v>22</v>
      </c>
      <c r="AT5" s="45" t="s">
        <v>21</v>
      </c>
      <c r="AU5" s="67" t="s">
        <v>24</v>
      </c>
      <c r="AV5" s="64" t="s">
        <v>25</v>
      </c>
      <c r="AW5" s="405"/>
      <c r="AX5" s="405"/>
      <c r="AY5" s="405"/>
      <c r="AZ5" s="405"/>
    </row>
    <row r="6" spans="1:52" s="10" customFormat="1" ht="16" thickTop="1">
      <c r="A6" s="77" t="s">
        <v>19</v>
      </c>
      <c r="B6" s="101">
        <v>1</v>
      </c>
      <c r="C6" s="101">
        <f t="shared" ref="C6:C17" si="0">INDEX(Stage_Temp_Table,$B6)</f>
        <v>20</v>
      </c>
      <c r="D6" s="101"/>
      <c r="E6" s="78">
        <v>0</v>
      </c>
      <c r="F6" s="79">
        <v>0</v>
      </c>
      <c r="G6" s="80">
        <v>0</v>
      </c>
      <c r="H6" s="81">
        <v>0</v>
      </c>
      <c r="I6" s="78">
        <v>0</v>
      </c>
      <c r="J6" s="79">
        <v>0</v>
      </c>
      <c r="K6" s="80">
        <v>0</v>
      </c>
      <c r="L6" s="81">
        <v>0</v>
      </c>
      <c r="M6" s="78">
        <v>0</v>
      </c>
      <c r="N6" s="79">
        <v>0</v>
      </c>
      <c r="O6" s="80">
        <v>0</v>
      </c>
      <c r="P6" s="81">
        <v>0</v>
      </c>
      <c r="Q6" s="78">
        <v>0</v>
      </c>
      <c r="R6" s="79">
        <v>0</v>
      </c>
      <c r="S6" s="80">
        <v>0</v>
      </c>
      <c r="T6" s="81">
        <v>0</v>
      </c>
      <c r="U6" s="78">
        <v>0</v>
      </c>
      <c r="V6" s="79">
        <v>0</v>
      </c>
      <c r="W6" s="80">
        <v>0</v>
      </c>
      <c r="X6" s="81">
        <v>0</v>
      </c>
      <c r="Y6" s="78">
        <v>0</v>
      </c>
      <c r="Z6" s="79">
        <v>0</v>
      </c>
      <c r="AA6" s="80">
        <v>0</v>
      </c>
      <c r="AB6" s="81">
        <v>0</v>
      </c>
      <c r="AC6" s="78">
        <v>0</v>
      </c>
      <c r="AD6" s="79">
        <v>0</v>
      </c>
      <c r="AE6" s="80">
        <v>0</v>
      </c>
      <c r="AF6" s="81">
        <v>0</v>
      </c>
      <c r="AG6" s="78">
        <v>0</v>
      </c>
      <c r="AH6" s="79">
        <v>0</v>
      </c>
      <c r="AI6" s="80">
        <v>0</v>
      </c>
      <c r="AJ6" s="81">
        <v>0</v>
      </c>
      <c r="AK6" s="78">
        <v>0</v>
      </c>
      <c r="AL6" s="79">
        <v>0</v>
      </c>
      <c r="AM6" s="80">
        <v>0</v>
      </c>
      <c r="AN6" s="81">
        <v>0</v>
      </c>
      <c r="AO6" s="78">
        <v>0</v>
      </c>
      <c r="AP6" s="79">
        <v>0</v>
      </c>
      <c r="AQ6" s="80">
        <v>0</v>
      </c>
      <c r="AR6" s="81">
        <v>0</v>
      </c>
      <c r="AS6" s="78">
        <v>0</v>
      </c>
      <c r="AT6" s="79">
        <v>0</v>
      </c>
      <c r="AU6" s="80">
        <v>0</v>
      </c>
      <c r="AV6" s="81">
        <v>0</v>
      </c>
      <c r="AW6" s="406"/>
      <c r="AX6" s="406"/>
      <c r="AY6" s="406"/>
      <c r="AZ6" s="406"/>
    </row>
    <row r="7" spans="1:52" s="10" customFormat="1" ht="15.5">
      <c r="A7" s="61" t="s">
        <v>5</v>
      </c>
      <c r="B7" s="98">
        <v>5</v>
      </c>
      <c r="C7" s="102">
        <f t="shared" si="0"/>
        <v>300</v>
      </c>
      <c r="D7" s="96"/>
      <c r="E7" s="72">
        <f>G_Lookup($A7,$E$3, E$4,$D7)</f>
        <v>-0.03</v>
      </c>
      <c r="F7" s="19">
        <f>Atten_to_Te(E7,$C7)</f>
        <v>2.0795006555412554</v>
      </c>
      <c r="G7" s="68">
        <f ca="1">E7+OFFSET(G7,-1,0)</f>
        <v>-0.03</v>
      </c>
      <c r="H7" s="65" t="e">
        <f ca="1">OFFSET(H7,-1,0)+F7*dbToAbs(-1*OFFSET(G7,-1,0))</f>
        <v>#NAME?</v>
      </c>
      <c r="I7" s="72">
        <f>G_Lookup($A7,$E$3, I$4,$D7)</f>
        <v>-0.03</v>
      </c>
      <c r="J7" s="19">
        <f>Atten_to_Te(I7,$C7)</f>
        <v>2.0795006555412554</v>
      </c>
      <c r="K7" s="68">
        <f ca="1">I7+OFFSET(K7,-1,0)</f>
        <v>-0.03</v>
      </c>
      <c r="L7" s="65" t="e">
        <f ca="1">OFFSET(L7,-1,0)+J7*dbToAbs(-1*OFFSET(K7,-1,0))</f>
        <v>#NAME?</v>
      </c>
      <c r="M7" s="72">
        <f>G_Lookup($A7,$E$3, M$4,$D7)</f>
        <v>-0.03</v>
      </c>
      <c r="N7" s="19">
        <f>Atten_to_Te(M7,$C7)</f>
        <v>2.0795006555412554</v>
      </c>
      <c r="O7" s="68">
        <f ca="1">M7+OFFSET(O7,-1,0)</f>
        <v>-0.03</v>
      </c>
      <c r="P7" s="65" t="e">
        <f ca="1">OFFSET(P7,-1,0)+N7*dbToAbs(-1*OFFSET(O7,-1,0))</f>
        <v>#NAME?</v>
      </c>
      <c r="Q7" s="72">
        <f>G_Lookup($A7,$E$3, Q$4,$D7)</f>
        <v>-0.03</v>
      </c>
      <c r="R7" s="19">
        <f>Atten_to_Te(Q7,$C7)</f>
        <v>2.0795006555412554</v>
      </c>
      <c r="S7" s="68">
        <f ca="1">Q7+OFFSET(S7,-1,0)</f>
        <v>-0.03</v>
      </c>
      <c r="T7" s="65" t="e">
        <f ca="1">OFFSET(T7,-1,0)+R7*dbToAbs(-1*OFFSET(S7,-1,0))</f>
        <v>#NAME?</v>
      </c>
      <c r="U7" s="72">
        <f>G_Lookup($A7,$E$3, U$4,$D7)</f>
        <v>-0.03</v>
      </c>
      <c r="V7" s="19">
        <f>Atten_to_Te(U7,$C7)</f>
        <v>2.0795006555412554</v>
      </c>
      <c r="W7" s="68">
        <f ca="1">U7+OFFSET(W7,-1,0)</f>
        <v>-0.03</v>
      </c>
      <c r="X7" s="65" t="e">
        <f ca="1">OFFSET(X7,-1,0)+V7*dbToAbs(-1*OFFSET(W7,-1,0))</f>
        <v>#NAME?</v>
      </c>
      <c r="Y7" s="72">
        <f>G_Lookup($A7,$E$3, Y$4,$D7)</f>
        <v>-0.03</v>
      </c>
      <c r="Z7" s="19">
        <f>Atten_to_Te(Y7,$C7)</f>
        <v>2.0795006555412554</v>
      </c>
      <c r="AA7" s="68">
        <f ca="1">Y7+OFFSET(AA7,-1,0)</f>
        <v>-0.03</v>
      </c>
      <c r="AB7" s="65" t="e">
        <f ca="1">OFFSET(AB7,-1,0)+Z7*dbToAbs(-1*OFFSET(AA7,-1,0))</f>
        <v>#NAME?</v>
      </c>
      <c r="AC7" s="72">
        <f>G_Lookup($A7,$E$3, AC$4,$D7)</f>
        <v>-3.175E-2</v>
      </c>
      <c r="AD7" s="19">
        <f>Atten_to_Te(AC7,$C7)</f>
        <v>2.2012488403989838</v>
      </c>
      <c r="AE7" s="68">
        <f ca="1">AC7+OFFSET(AE7,-1,0)</f>
        <v>-3.175E-2</v>
      </c>
      <c r="AF7" s="65" t="e">
        <f ca="1">OFFSET(AF7,-1,0)+AD7*dbToAbs(-1*OFFSET(AE7,-1,0))</f>
        <v>#NAME?</v>
      </c>
      <c r="AG7" s="72">
        <f>G_Lookup($A7,$E$3, AG$4,$D7)</f>
        <v>-3.4000000000000002E-2</v>
      </c>
      <c r="AH7" s="19">
        <f>Atten_to_Te(AG7,$C7)</f>
        <v>2.3578543245090566</v>
      </c>
      <c r="AI7" s="68">
        <f ca="1">AG7+OFFSET(AI7,-1,0)</f>
        <v>-3.4000000000000002E-2</v>
      </c>
      <c r="AJ7" s="65" t="e">
        <f ca="1">OFFSET(AJ7,-1,0)+AH7*dbToAbs(-1*OFFSET(AI7,-1,0))</f>
        <v>#NAME?</v>
      </c>
      <c r="AK7" s="72">
        <f>G_Lookup($A7,$E$3, AK$4,$D7)</f>
        <v>-3.6249999999999998E-2</v>
      </c>
      <c r="AL7" s="19">
        <f>Atten_to_Te(AK7,$C7)</f>
        <v>2.5145409640668248</v>
      </c>
      <c r="AM7" s="68">
        <f ca="1">AK7+OFFSET(AM7,-1,0)</f>
        <v>-3.6249999999999998E-2</v>
      </c>
      <c r="AN7" s="65" t="e">
        <f ca="1">OFFSET(AN7,-1,0)+AL7*dbToAbs(-1*OFFSET(AM7,-1,0))</f>
        <v>#NAME?</v>
      </c>
      <c r="AO7" s="72">
        <f>G_Lookup($A7,$E$3, AO$4,$D7)</f>
        <v>-3.875E-2</v>
      </c>
      <c r="AP7" s="19">
        <f>Atten_to_Te(AO7,$C7)</f>
        <v>2.6887324637099086</v>
      </c>
      <c r="AQ7" s="68">
        <f ca="1">AO7+OFFSET(AQ7,-1,0)</f>
        <v>-3.875E-2</v>
      </c>
      <c r="AR7" s="65" t="e">
        <f ca="1">OFFSET(AR7,-1,0)+AP7*dbToAbs(-1*OFFSET(AQ7,-1,0))</f>
        <v>#NAME?</v>
      </c>
      <c r="AS7" s="72">
        <f>G_Lookup($A7,$E$3, AS$4,$D7)</f>
        <v>-4.0625000000000001E-2</v>
      </c>
      <c r="AT7" s="19">
        <f>Atten_to_Te(AS7,$C7)</f>
        <v>2.8194419081791322</v>
      </c>
      <c r="AU7" s="68">
        <f ca="1">AS7+OFFSET(AU7,-1,0)</f>
        <v>-4.0625000000000001E-2</v>
      </c>
      <c r="AV7" s="65" t="e">
        <f ca="1">OFFSET(AV7,-1,0)+AT7*dbToAbs(-1*OFFSET(AU7,-1,0))</f>
        <v>#NAME?</v>
      </c>
      <c r="AW7" s="406"/>
      <c r="AX7" s="406"/>
      <c r="AY7" s="406"/>
      <c r="AZ7" s="406"/>
    </row>
    <row r="8" spans="1:52" s="10" customFormat="1" ht="15.5">
      <c r="A8" s="61" t="s">
        <v>6</v>
      </c>
      <c r="B8" s="98">
        <v>5</v>
      </c>
      <c r="C8" s="102">
        <f t="shared" si="0"/>
        <v>300</v>
      </c>
      <c r="D8" s="96"/>
      <c r="E8" s="72">
        <f t="shared" ref="E8:E10" si="1">G_Lookup($A8,$E$3, E$4,$D8)</f>
        <v>-0.03</v>
      </c>
      <c r="F8" s="19">
        <f t="shared" ref="F8:F12" si="2">Atten_to_Te(E8,$C8)</f>
        <v>2.0795006555412554</v>
      </c>
      <c r="G8" s="68">
        <f t="shared" ref="G8:G17" ca="1" si="3">E8+OFFSET(G8,-1,0)</f>
        <v>-0.06</v>
      </c>
      <c r="H8" s="65" t="e">
        <f ca="1">OFFSET(H8,-1,0)+F8*dbToAbs(-1*OFFSET(G8,-1,0))</f>
        <v>#NAME?</v>
      </c>
      <c r="I8" s="72">
        <f t="shared" ref="I8:I11" si="4">G_Lookup($A8,$E$3, I$4,$D8)</f>
        <v>-0.03</v>
      </c>
      <c r="J8" s="19">
        <f t="shared" ref="J8:J13" si="5">Atten_to_Te(I8,$C8)</f>
        <v>2.0795006555412554</v>
      </c>
      <c r="K8" s="68">
        <f t="shared" ref="K8:K17" ca="1" si="6">I8+OFFSET(K8,-1,0)</f>
        <v>-0.06</v>
      </c>
      <c r="L8" s="65" t="e">
        <f t="shared" ref="L8:L17" ca="1" si="7">OFFSET(L8,-1,0)+J8*dbToAbs(-1*OFFSET(K8,-1,0))</f>
        <v>#NAME?</v>
      </c>
      <c r="M8" s="72">
        <f t="shared" ref="M8:M11" si="8">G_Lookup($A8,$E$3, M$4,$D8)</f>
        <v>-0.03</v>
      </c>
      <c r="N8" s="19">
        <f t="shared" ref="N8:N13" si="9">Atten_to_Te(M8,$C8)</f>
        <v>2.0795006555412554</v>
      </c>
      <c r="O8" s="68">
        <f t="shared" ref="O8:O17" ca="1" si="10">M8+OFFSET(O8,-1,0)</f>
        <v>-0.06</v>
      </c>
      <c r="P8" s="65" t="e">
        <f t="shared" ref="P8:P17" ca="1" si="11">OFFSET(P8,-1,0)+N8*dbToAbs(-1*OFFSET(O8,-1,0))</f>
        <v>#NAME?</v>
      </c>
      <c r="Q8" s="72">
        <f t="shared" ref="Q8:Q11" si="12">G_Lookup($A8,$E$3, Q$4,$D8)</f>
        <v>-0.03</v>
      </c>
      <c r="R8" s="19">
        <f t="shared" ref="R8:R13" si="13">Atten_to_Te(Q8,$C8)</f>
        <v>2.0795006555412554</v>
      </c>
      <c r="S8" s="68">
        <f t="shared" ref="S8:S17" ca="1" si="14">Q8+OFFSET(S8,-1,0)</f>
        <v>-0.06</v>
      </c>
      <c r="T8" s="65" t="e">
        <f t="shared" ref="T8:T17" ca="1" si="15">OFFSET(T8,-1,0)+R8*dbToAbs(-1*OFFSET(S8,-1,0))</f>
        <v>#NAME?</v>
      </c>
      <c r="U8" s="72">
        <f t="shared" ref="U8:U11" si="16">G_Lookup($A8,$E$3, U$4,$D8)</f>
        <v>-0.03</v>
      </c>
      <c r="V8" s="19">
        <f t="shared" ref="V8:V13" si="17">Atten_to_Te(U8,$C8)</f>
        <v>2.0795006555412554</v>
      </c>
      <c r="W8" s="68">
        <f t="shared" ref="W8:W17" ca="1" si="18">U8+OFFSET(W8,-1,0)</f>
        <v>-0.06</v>
      </c>
      <c r="X8" s="65" t="e">
        <f t="shared" ref="X8:X17" ca="1" si="19">OFFSET(X8,-1,0)+V8*dbToAbs(-1*OFFSET(W8,-1,0))</f>
        <v>#NAME?</v>
      </c>
      <c r="Y8" s="72">
        <f t="shared" ref="Y8:Y11" si="20">G_Lookup($A8,$E$3, Y$4,$D8)</f>
        <v>-0.03</v>
      </c>
      <c r="Z8" s="19">
        <f t="shared" ref="Z8:Z13" si="21">Atten_to_Te(Y8,$C8)</f>
        <v>2.0795006555412554</v>
      </c>
      <c r="AA8" s="68">
        <f t="shared" ref="AA8:AA17" ca="1" si="22">Y8+OFFSET(AA8,-1,0)</f>
        <v>-0.06</v>
      </c>
      <c r="AB8" s="65" t="e">
        <f t="shared" ref="AB8:AB17" ca="1" si="23">OFFSET(AB8,-1,0)+Z8*dbToAbs(-1*OFFSET(AA8,-1,0))</f>
        <v>#NAME?</v>
      </c>
      <c r="AC8" s="72">
        <f t="shared" ref="AC8:AC11" si="24">G_Lookup($A8,$E$3, AC$4,$D8)</f>
        <v>-0.03</v>
      </c>
      <c r="AD8" s="19">
        <f t="shared" ref="AD8:AD13" si="25">Atten_to_Te(AC8,$C8)</f>
        <v>2.0795006555412554</v>
      </c>
      <c r="AE8" s="68">
        <f t="shared" ref="AE8:AE17" ca="1" si="26">AC8+OFFSET(AE8,-1,0)</f>
        <v>-6.1749999999999999E-2</v>
      </c>
      <c r="AF8" s="65" t="e">
        <f t="shared" ref="AF8:AF17" ca="1" si="27">OFFSET(AF8,-1,0)+AD8*dbToAbs(-1*OFFSET(AE8,-1,0))</f>
        <v>#NAME?</v>
      </c>
      <c r="AG8" s="72">
        <f t="shared" ref="AG8:AG11" si="28">G_Lookup($A8,$E$3, AG$4,$D8)</f>
        <v>-0.03</v>
      </c>
      <c r="AH8" s="19">
        <f t="shared" ref="AH8:AH13" si="29">Atten_to_Te(AG8,$C8)</f>
        <v>2.0795006555412554</v>
      </c>
      <c r="AI8" s="68">
        <f t="shared" ref="AI8:AI17" ca="1" si="30">AG8+OFFSET(AI8,-1,0)</f>
        <v>-6.4000000000000001E-2</v>
      </c>
      <c r="AJ8" s="65" t="e">
        <f t="shared" ref="AJ8:AJ17" ca="1" si="31">OFFSET(AJ8,-1,0)+AH8*dbToAbs(-1*OFFSET(AI8,-1,0))</f>
        <v>#NAME?</v>
      </c>
      <c r="AK8" s="72">
        <f t="shared" ref="AK8:AK11" si="32">G_Lookup($A8,$E$3, AK$4,$D8)</f>
        <v>-0.03</v>
      </c>
      <c r="AL8" s="19">
        <f t="shared" ref="AL8:AL13" si="33">Atten_to_Te(AK8,$C8)</f>
        <v>2.0795006555412554</v>
      </c>
      <c r="AM8" s="68">
        <f t="shared" ref="AM8:AM17" ca="1" si="34">AK8+OFFSET(AM8,-1,0)</f>
        <v>-6.6250000000000003E-2</v>
      </c>
      <c r="AN8" s="65" t="e">
        <f t="shared" ref="AN8:AN17" ca="1" si="35">OFFSET(AN8,-1,0)+AL8*dbToAbs(-1*OFFSET(AM8,-1,0))</f>
        <v>#NAME?</v>
      </c>
      <c r="AO8" s="72">
        <f t="shared" ref="AO8:AO11" si="36">G_Lookup($A8,$E$3, AO$4,$D8)</f>
        <v>-0.03</v>
      </c>
      <c r="AP8" s="19">
        <f t="shared" ref="AP8:AP12" si="37">Atten_to_Te(AO8,$C8)</f>
        <v>2.0795006555412554</v>
      </c>
      <c r="AQ8" s="68">
        <f t="shared" ref="AQ8:AQ17" ca="1" si="38">AO8+OFFSET(AQ8,-1,0)</f>
        <v>-6.8750000000000006E-2</v>
      </c>
      <c r="AR8" s="65" t="e">
        <f t="shared" ref="AR8:AR17" ca="1" si="39">OFFSET(AR8,-1,0)+AP8*dbToAbs(-1*OFFSET(AQ8,-1,0))</f>
        <v>#NAME?</v>
      </c>
      <c r="AS8" s="72">
        <f t="shared" ref="AS8:AS11" si="40">G_Lookup($A8,$E$3, AS$4,$D8)</f>
        <v>-0.03</v>
      </c>
      <c r="AT8" s="19">
        <f t="shared" ref="AT8:AT12" si="41">Atten_to_Te(AS8,$C8)</f>
        <v>2.0795006555412554</v>
      </c>
      <c r="AU8" s="68">
        <f t="shared" ref="AU8:AU17" ca="1" si="42">AS8+OFFSET(AU8,-1,0)</f>
        <v>-7.0624999999999993E-2</v>
      </c>
      <c r="AV8" s="65" t="e">
        <f t="shared" ref="AV8:AV17" ca="1" si="43">OFFSET(AV8,-1,0)+AT8*dbToAbs(-1*OFFSET(AU8,-1,0))</f>
        <v>#NAME?</v>
      </c>
      <c r="AW8" s="406"/>
      <c r="AX8" s="406"/>
      <c r="AY8" s="406"/>
      <c r="AZ8" s="406"/>
    </row>
    <row r="9" spans="1:52" s="10" customFormat="1" ht="15.5">
      <c r="A9" s="61" t="s">
        <v>8</v>
      </c>
      <c r="B9" s="98">
        <v>4</v>
      </c>
      <c r="C9" s="102">
        <f t="shared" si="0"/>
        <v>190</v>
      </c>
      <c r="D9" s="96"/>
      <c r="E9" s="72">
        <f t="shared" si="1"/>
        <v>-0.03</v>
      </c>
      <c r="F9" s="19">
        <f t="shared" si="2"/>
        <v>1.3170170818427951</v>
      </c>
      <c r="G9" s="68">
        <f t="shared" ca="1" si="3"/>
        <v>-0.09</v>
      </c>
      <c r="H9" s="65" t="e">
        <f t="shared" ref="H9:H17" ca="1" si="44">OFFSET(H9,-1,0)+F9*dbToAbs(-1*OFFSET(G9,-1,0))</f>
        <v>#NAME?</v>
      </c>
      <c r="I9" s="72">
        <f t="shared" si="4"/>
        <v>-0.03</v>
      </c>
      <c r="J9" s="19">
        <f t="shared" si="5"/>
        <v>1.3170170818427951</v>
      </c>
      <c r="K9" s="68">
        <f t="shared" ca="1" si="6"/>
        <v>-0.09</v>
      </c>
      <c r="L9" s="65" t="e">
        <f t="shared" ca="1" si="7"/>
        <v>#NAME?</v>
      </c>
      <c r="M9" s="72">
        <f t="shared" si="8"/>
        <v>-0.03</v>
      </c>
      <c r="N9" s="19">
        <f t="shared" si="9"/>
        <v>1.3170170818427951</v>
      </c>
      <c r="O9" s="68">
        <f t="shared" ca="1" si="10"/>
        <v>-0.09</v>
      </c>
      <c r="P9" s="65" t="e">
        <f t="shared" ca="1" si="11"/>
        <v>#NAME?</v>
      </c>
      <c r="Q9" s="72">
        <f t="shared" si="12"/>
        <v>-0.03</v>
      </c>
      <c r="R9" s="19">
        <f t="shared" si="13"/>
        <v>1.3170170818427951</v>
      </c>
      <c r="S9" s="68">
        <f t="shared" ca="1" si="14"/>
        <v>-0.09</v>
      </c>
      <c r="T9" s="65" t="e">
        <f t="shared" ca="1" si="15"/>
        <v>#NAME?</v>
      </c>
      <c r="U9" s="72">
        <f t="shared" si="16"/>
        <v>-0.03</v>
      </c>
      <c r="V9" s="19">
        <f t="shared" si="17"/>
        <v>1.3170170818427951</v>
      </c>
      <c r="W9" s="68">
        <f t="shared" ca="1" si="18"/>
        <v>-0.09</v>
      </c>
      <c r="X9" s="65" t="e">
        <f t="shared" ca="1" si="19"/>
        <v>#NAME?</v>
      </c>
      <c r="Y9" s="72">
        <f t="shared" si="20"/>
        <v>-0.03</v>
      </c>
      <c r="Z9" s="19">
        <f t="shared" si="21"/>
        <v>1.3170170818427951</v>
      </c>
      <c r="AA9" s="68">
        <f t="shared" ca="1" si="22"/>
        <v>-0.09</v>
      </c>
      <c r="AB9" s="65" t="e">
        <f t="shared" ca="1" si="23"/>
        <v>#NAME?</v>
      </c>
      <c r="AC9" s="72">
        <f t="shared" si="24"/>
        <v>-0.03</v>
      </c>
      <c r="AD9" s="19">
        <f t="shared" si="25"/>
        <v>1.3170170818427951</v>
      </c>
      <c r="AE9" s="68">
        <f t="shared" ca="1" si="26"/>
        <v>-9.1749999999999998E-2</v>
      </c>
      <c r="AF9" s="65" t="e">
        <f t="shared" ca="1" si="27"/>
        <v>#NAME?</v>
      </c>
      <c r="AG9" s="72">
        <f t="shared" si="28"/>
        <v>-0.03</v>
      </c>
      <c r="AH9" s="19">
        <f t="shared" si="29"/>
        <v>1.3170170818427951</v>
      </c>
      <c r="AI9" s="68">
        <f t="shared" ca="1" si="30"/>
        <v>-9.4E-2</v>
      </c>
      <c r="AJ9" s="65" t="e">
        <f t="shared" ca="1" si="31"/>
        <v>#NAME?</v>
      </c>
      <c r="AK9" s="72">
        <f t="shared" si="32"/>
        <v>-0.03</v>
      </c>
      <c r="AL9" s="19">
        <f t="shared" si="33"/>
        <v>1.3170170818427951</v>
      </c>
      <c r="AM9" s="68">
        <f t="shared" ca="1" si="34"/>
        <v>-9.6250000000000002E-2</v>
      </c>
      <c r="AN9" s="65" t="e">
        <f t="shared" ca="1" si="35"/>
        <v>#NAME?</v>
      </c>
      <c r="AO9" s="72">
        <f t="shared" si="36"/>
        <v>-0.03</v>
      </c>
      <c r="AP9" s="19">
        <f t="shared" si="37"/>
        <v>1.3170170818427951</v>
      </c>
      <c r="AQ9" s="68">
        <f t="shared" ca="1" si="38"/>
        <v>-9.8750000000000004E-2</v>
      </c>
      <c r="AR9" s="65" t="e">
        <f t="shared" ca="1" si="39"/>
        <v>#NAME?</v>
      </c>
      <c r="AS9" s="72">
        <f t="shared" si="40"/>
        <v>-0.03</v>
      </c>
      <c r="AT9" s="19">
        <f t="shared" si="41"/>
        <v>1.3170170818427951</v>
      </c>
      <c r="AU9" s="68">
        <f t="shared" ca="1" si="42"/>
        <v>-0.10062499999999999</v>
      </c>
      <c r="AV9" s="65" t="e">
        <f t="shared" ca="1" si="43"/>
        <v>#NAME?</v>
      </c>
      <c r="AW9" s="406"/>
      <c r="AX9" s="406"/>
      <c r="AY9" s="406"/>
      <c r="AZ9" s="406"/>
    </row>
    <row r="10" spans="1:52" s="10" customFormat="1" ht="15.5">
      <c r="A10" s="61" t="s">
        <v>9</v>
      </c>
      <c r="B10" s="98">
        <v>1</v>
      </c>
      <c r="C10" s="102">
        <f t="shared" si="0"/>
        <v>20</v>
      </c>
      <c r="D10" s="96"/>
      <c r="E10" s="72">
        <f t="shared" si="1"/>
        <v>-0.05</v>
      </c>
      <c r="F10" s="19">
        <f t="shared" si="2"/>
        <v>0.23158908519797183</v>
      </c>
      <c r="G10" s="68">
        <f t="shared" ca="1" si="3"/>
        <v>-0.14000000000000001</v>
      </c>
      <c r="H10" s="65" t="e">
        <f t="shared" ca="1" si="44"/>
        <v>#NAME?</v>
      </c>
      <c r="I10" s="72">
        <f t="shared" si="4"/>
        <v>-0.05</v>
      </c>
      <c r="J10" s="19">
        <f t="shared" si="5"/>
        <v>0.23158908519797183</v>
      </c>
      <c r="K10" s="68">
        <f t="shared" ca="1" si="6"/>
        <v>-0.14000000000000001</v>
      </c>
      <c r="L10" s="65" t="e">
        <f t="shared" ca="1" si="7"/>
        <v>#NAME?</v>
      </c>
      <c r="M10" s="72">
        <f t="shared" si="8"/>
        <v>-0.05</v>
      </c>
      <c r="N10" s="19">
        <f t="shared" si="9"/>
        <v>0.23158908519797183</v>
      </c>
      <c r="O10" s="68">
        <f t="shared" ca="1" si="10"/>
        <v>-0.14000000000000001</v>
      </c>
      <c r="P10" s="65" t="e">
        <f t="shared" ca="1" si="11"/>
        <v>#NAME?</v>
      </c>
      <c r="Q10" s="72">
        <f t="shared" si="12"/>
        <v>-0.05</v>
      </c>
      <c r="R10" s="19">
        <f t="shared" si="13"/>
        <v>0.23158908519797183</v>
      </c>
      <c r="S10" s="68">
        <f t="shared" ca="1" si="14"/>
        <v>-0.14000000000000001</v>
      </c>
      <c r="T10" s="65" t="e">
        <f t="shared" ca="1" si="15"/>
        <v>#NAME?</v>
      </c>
      <c r="U10" s="72">
        <f t="shared" si="16"/>
        <v>-0.05</v>
      </c>
      <c r="V10" s="19">
        <f t="shared" si="17"/>
        <v>0.23158908519797183</v>
      </c>
      <c r="W10" s="68">
        <f t="shared" ca="1" si="18"/>
        <v>-0.14000000000000001</v>
      </c>
      <c r="X10" s="65" t="e">
        <f t="shared" ca="1" si="19"/>
        <v>#NAME?</v>
      </c>
      <c r="Y10" s="72">
        <f t="shared" si="20"/>
        <v>-0.05</v>
      </c>
      <c r="Z10" s="19">
        <f t="shared" si="21"/>
        <v>0.23158908519797183</v>
      </c>
      <c r="AA10" s="68">
        <f t="shared" ca="1" si="22"/>
        <v>-0.14000000000000001</v>
      </c>
      <c r="AB10" s="65" t="e">
        <f t="shared" ca="1" si="23"/>
        <v>#NAME?</v>
      </c>
      <c r="AC10" s="72">
        <f t="shared" si="24"/>
        <v>-0.05</v>
      </c>
      <c r="AD10" s="19">
        <f t="shared" si="25"/>
        <v>0.23158908519797183</v>
      </c>
      <c r="AE10" s="68">
        <f t="shared" ca="1" si="26"/>
        <v>-0.14174999999999999</v>
      </c>
      <c r="AF10" s="65" t="e">
        <f t="shared" ca="1" si="27"/>
        <v>#NAME?</v>
      </c>
      <c r="AG10" s="72">
        <f t="shared" si="28"/>
        <v>-0.05</v>
      </c>
      <c r="AH10" s="19">
        <f t="shared" si="29"/>
        <v>0.23158908519797183</v>
      </c>
      <c r="AI10" s="68">
        <f t="shared" ca="1" si="30"/>
        <v>-0.14400000000000002</v>
      </c>
      <c r="AJ10" s="65" t="e">
        <f t="shared" ca="1" si="31"/>
        <v>#NAME?</v>
      </c>
      <c r="AK10" s="72">
        <f t="shared" si="32"/>
        <v>-0.05</v>
      </c>
      <c r="AL10" s="19">
        <f t="shared" si="33"/>
        <v>0.23158908519797183</v>
      </c>
      <c r="AM10" s="68">
        <f t="shared" ca="1" si="34"/>
        <v>-0.14624999999999999</v>
      </c>
      <c r="AN10" s="65" t="e">
        <f t="shared" ca="1" si="35"/>
        <v>#NAME?</v>
      </c>
      <c r="AO10" s="72">
        <f t="shared" si="36"/>
        <v>-0.05</v>
      </c>
      <c r="AP10" s="19">
        <f t="shared" si="37"/>
        <v>0.23158908519797183</v>
      </c>
      <c r="AQ10" s="68">
        <f t="shared" ca="1" si="38"/>
        <v>-0.14874999999999999</v>
      </c>
      <c r="AR10" s="65" t="e">
        <f t="shared" ca="1" si="39"/>
        <v>#NAME?</v>
      </c>
      <c r="AS10" s="72">
        <f t="shared" si="40"/>
        <v>-0.05</v>
      </c>
      <c r="AT10" s="19">
        <f t="shared" si="41"/>
        <v>0.23158908519797183</v>
      </c>
      <c r="AU10" s="68">
        <f t="shared" ca="1" si="42"/>
        <v>-0.15062500000000001</v>
      </c>
      <c r="AV10" s="65" t="e">
        <f t="shared" ca="1" si="43"/>
        <v>#NAME?</v>
      </c>
      <c r="AW10" s="406"/>
      <c r="AX10" s="406"/>
      <c r="AY10" s="406"/>
      <c r="AZ10" s="406"/>
    </row>
    <row r="11" spans="1:52" s="76" customFormat="1" ht="15.5">
      <c r="A11" s="73" t="s">
        <v>106</v>
      </c>
      <c r="B11" s="98">
        <v>1</v>
      </c>
      <c r="C11" s="102">
        <f t="shared" si="0"/>
        <v>20</v>
      </c>
      <c r="D11" s="103"/>
      <c r="E11" s="72">
        <f t="shared" ref="E11:E17" si="45">G_Lookup($A11,$E$3, E$4,$D11)</f>
        <v>-0.1027859796756304</v>
      </c>
      <c r="F11" s="19">
        <f t="shared" si="2"/>
        <v>0.47899281508347435</v>
      </c>
      <c r="G11" s="74">
        <f t="shared" ca="1" si="3"/>
        <v>-0.24278597967563043</v>
      </c>
      <c r="H11" s="75" t="e">
        <f t="shared" ca="1" si="44"/>
        <v>#NAME?</v>
      </c>
      <c r="I11" s="72">
        <f t="shared" si="4"/>
        <v>-9.0634839320786448E-2</v>
      </c>
      <c r="J11" s="19">
        <f t="shared" si="5"/>
        <v>0.42177465291249661</v>
      </c>
      <c r="K11" s="74">
        <f t="shared" ca="1" si="6"/>
        <v>-0.23063483932078646</v>
      </c>
      <c r="L11" s="75" t="e">
        <f t="shared" ca="1" si="7"/>
        <v>#NAME?</v>
      </c>
      <c r="M11" s="72">
        <f t="shared" si="8"/>
        <v>-8.2276439605839496E-2</v>
      </c>
      <c r="N11" s="19">
        <f t="shared" si="9"/>
        <v>0.382508852797665</v>
      </c>
      <c r="O11" s="74">
        <f t="shared" ca="1" si="10"/>
        <v>-0.22227643960583951</v>
      </c>
      <c r="P11" s="75" t="e">
        <f t="shared" ca="1" si="11"/>
        <v>#NAME?</v>
      </c>
      <c r="Q11" s="72">
        <f t="shared" si="12"/>
        <v>-7.5856494882147643E-2</v>
      </c>
      <c r="R11" s="19">
        <f t="shared" si="13"/>
        <v>0.35240073133520511</v>
      </c>
      <c r="S11" s="74">
        <f t="shared" ca="1" si="14"/>
        <v>-0.21585649488214764</v>
      </c>
      <c r="T11" s="75" t="e">
        <f t="shared" ca="1" si="15"/>
        <v>#NAME?</v>
      </c>
      <c r="U11" s="72">
        <f t="shared" si="16"/>
        <v>-7.1344719898354489E-2</v>
      </c>
      <c r="V11" s="19">
        <f t="shared" si="17"/>
        <v>0.33126811849926607</v>
      </c>
      <c r="W11" s="74">
        <f t="shared" ca="1" si="18"/>
        <v>-0.21134471989835452</v>
      </c>
      <c r="X11" s="75" t="e">
        <f t="shared" ca="1" si="19"/>
        <v>#NAME?</v>
      </c>
      <c r="Y11" s="72">
        <f t="shared" si="20"/>
        <v>-6.7844960739608773E-2</v>
      </c>
      <c r="Z11" s="19">
        <f t="shared" si="21"/>
        <v>0.31489077949307109</v>
      </c>
      <c r="AA11" s="74">
        <f t="shared" ca="1" si="22"/>
        <v>-0.20784496073960879</v>
      </c>
      <c r="AB11" s="75" t="e">
        <f t="shared" ca="1" si="23"/>
        <v>#NAME?</v>
      </c>
      <c r="AC11" s="72">
        <f t="shared" si="24"/>
        <v>-6.5299166621635665E-2</v>
      </c>
      <c r="AD11" s="19">
        <f t="shared" si="25"/>
        <v>0.30298586787189663</v>
      </c>
      <c r="AE11" s="74">
        <f t="shared" ca="1" si="26"/>
        <v>-0.20704916662163564</v>
      </c>
      <c r="AF11" s="75" t="e">
        <f t="shared" ca="1" si="27"/>
        <v>#NAME?</v>
      </c>
      <c r="AG11" s="72">
        <f t="shared" si="28"/>
        <v>-6.3116489109580842E-2</v>
      </c>
      <c r="AH11" s="19">
        <f t="shared" si="29"/>
        <v>0.29278455551187577</v>
      </c>
      <c r="AI11" s="74">
        <f t="shared" ca="1" si="30"/>
        <v>-0.20711648910958086</v>
      </c>
      <c r="AJ11" s="75" t="e">
        <f t="shared" ca="1" si="31"/>
        <v>#NAME?</v>
      </c>
      <c r="AK11" s="72">
        <f t="shared" si="32"/>
        <v>-6.1499393853130357E-2</v>
      </c>
      <c r="AL11" s="19">
        <f t="shared" si="33"/>
        <v>0.28522994490306708</v>
      </c>
      <c r="AM11" s="74">
        <f t="shared" ca="1" si="34"/>
        <v>-0.20774939385313035</v>
      </c>
      <c r="AN11" s="75" t="e">
        <f t="shared" ca="1" si="35"/>
        <v>#NAME?</v>
      </c>
      <c r="AO11" s="72">
        <f t="shared" si="36"/>
        <v>-6.0186567884145711E-2</v>
      </c>
      <c r="AP11" s="19">
        <f t="shared" si="37"/>
        <v>0.27909886264362083</v>
      </c>
      <c r="AQ11" s="74">
        <f t="shared" ca="1" si="38"/>
        <v>-0.20893656788414572</v>
      </c>
      <c r="AR11" s="75" t="e">
        <f t="shared" ca="1" si="39"/>
        <v>#NAME?</v>
      </c>
      <c r="AS11" s="72">
        <f t="shared" si="40"/>
        <v>-5.9214890376894959E-2</v>
      </c>
      <c r="AT11" s="19">
        <f t="shared" si="41"/>
        <v>0.2745621851408675</v>
      </c>
      <c r="AU11" s="74">
        <f t="shared" ca="1" si="42"/>
        <v>-0.20983989037689496</v>
      </c>
      <c r="AV11" s="75" t="e">
        <f t="shared" ca="1" si="43"/>
        <v>#NAME?</v>
      </c>
      <c r="AW11" s="406"/>
      <c r="AX11" s="406"/>
      <c r="AY11" s="406"/>
      <c r="AZ11" s="406"/>
    </row>
    <row r="12" spans="1:52" s="10" customFormat="1" ht="15.5">
      <c r="A12" s="61" t="s">
        <v>290</v>
      </c>
      <c r="B12" s="98">
        <v>1</v>
      </c>
      <c r="C12" s="102">
        <f t="shared" si="0"/>
        <v>20</v>
      </c>
      <c r="D12" s="96"/>
      <c r="E12" s="72">
        <f t="shared" si="45"/>
        <v>-0.02</v>
      </c>
      <c r="F12" s="19">
        <f t="shared" si="2"/>
        <v>9.2315805567904086E-2</v>
      </c>
      <c r="G12" s="68">
        <f t="shared" ca="1" si="3"/>
        <v>-0.26278597967563044</v>
      </c>
      <c r="H12" s="65" t="e">
        <f t="shared" ca="1" si="44"/>
        <v>#NAME?</v>
      </c>
      <c r="I12" s="72">
        <f t="shared" ref="I12:I17" si="46">G_Lookup($A12,$E$3, I$4,$D12)</f>
        <v>-0.02</v>
      </c>
      <c r="J12" s="19">
        <f t="shared" si="5"/>
        <v>9.2315805567904086E-2</v>
      </c>
      <c r="K12" s="68">
        <f t="shared" ca="1" si="6"/>
        <v>-0.25063483932078645</v>
      </c>
      <c r="L12" s="65" t="e">
        <f t="shared" ca="1" si="7"/>
        <v>#NAME?</v>
      </c>
      <c r="M12" s="72">
        <f t="shared" ref="M12:M17" si="47">G_Lookup($A12,$E$3, M$4,$D12)</f>
        <v>-0.02</v>
      </c>
      <c r="N12" s="19">
        <f t="shared" si="9"/>
        <v>9.2315805567904086E-2</v>
      </c>
      <c r="O12" s="68">
        <f t="shared" ca="1" si="10"/>
        <v>-0.2422764396058395</v>
      </c>
      <c r="P12" s="65" t="e">
        <f t="shared" ca="1" si="11"/>
        <v>#NAME?</v>
      </c>
      <c r="Q12" s="72">
        <f t="shared" ref="Q12:Q17" si="48">G_Lookup($A12,$E$3, Q$4,$D12)</f>
        <v>-0.02</v>
      </c>
      <c r="R12" s="19">
        <f t="shared" si="13"/>
        <v>9.2315805567904086E-2</v>
      </c>
      <c r="S12" s="68">
        <f t="shared" ca="1" si="14"/>
        <v>-0.23585649488214763</v>
      </c>
      <c r="T12" s="65" t="e">
        <f t="shared" ca="1" si="15"/>
        <v>#NAME?</v>
      </c>
      <c r="U12" s="72">
        <f t="shared" ref="U12:U17" si="49">G_Lookup($A12,$E$3, U$4,$D12)</f>
        <v>-0.02</v>
      </c>
      <c r="V12" s="19">
        <f t="shared" si="17"/>
        <v>9.2315805567904086E-2</v>
      </c>
      <c r="W12" s="68">
        <f t="shared" ca="1" si="18"/>
        <v>-0.23134471989835451</v>
      </c>
      <c r="X12" s="65" t="e">
        <f t="shared" ca="1" si="19"/>
        <v>#NAME?</v>
      </c>
      <c r="Y12" s="72">
        <f t="shared" ref="Y12:Y17" si="50">G_Lookup($A12,$E$3, Y$4,$D12)</f>
        <v>-0.02</v>
      </c>
      <c r="Z12" s="19">
        <f t="shared" si="21"/>
        <v>9.2315805567904086E-2</v>
      </c>
      <c r="AA12" s="68">
        <f t="shared" ca="1" si="22"/>
        <v>-0.22784496073960878</v>
      </c>
      <c r="AB12" s="65" t="e">
        <f t="shared" ca="1" si="23"/>
        <v>#NAME?</v>
      </c>
      <c r="AC12" s="72">
        <f t="shared" ref="AC12:AC17" si="51">G_Lookup($A12,$E$3, AC$4,$D12)</f>
        <v>-0.02</v>
      </c>
      <c r="AD12" s="19">
        <f t="shared" si="25"/>
        <v>9.2315805567904086E-2</v>
      </c>
      <c r="AE12" s="68">
        <f t="shared" ca="1" si="26"/>
        <v>-0.22704916662163563</v>
      </c>
      <c r="AF12" s="65" t="e">
        <f t="shared" ca="1" si="27"/>
        <v>#NAME?</v>
      </c>
      <c r="AG12" s="72">
        <f t="shared" ref="AG12:AG17" si="52">G_Lookup($A12,$E$3, AG$4,$D12)</f>
        <v>-0.02</v>
      </c>
      <c r="AH12" s="19">
        <f t="shared" si="29"/>
        <v>9.2315805567904086E-2</v>
      </c>
      <c r="AI12" s="68">
        <f t="shared" ca="1" si="30"/>
        <v>-0.22711648910958085</v>
      </c>
      <c r="AJ12" s="65" t="e">
        <f t="shared" ca="1" si="31"/>
        <v>#NAME?</v>
      </c>
      <c r="AK12" s="72">
        <f t="shared" ref="AK12:AK17" si="53">G_Lookup($A12,$E$3, AK$4,$D12)</f>
        <v>-0.02</v>
      </c>
      <c r="AL12" s="19">
        <f t="shared" si="33"/>
        <v>9.2315805567904086E-2</v>
      </c>
      <c r="AM12" s="68">
        <f t="shared" ca="1" si="34"/>
        <v>-0.22774939385313034</v>
      </c>
      <c r="AN12" s="65" t="e">
        <f t="shared" ca="1" si="35"/>
        <v>#NAME?</v>
      </c>
      <c r="AO12" s="72">
        <f t="shared" ref="AO12:AO17" si="54">G_Lookup($A12,$E$3, AO$4,$D12)</f>
        <v>-0.02</v>
      </c>
      <c r="AP12" s="19">
        <f t="shared" si="37"/>
        <v>9.2315805567904086E-2</v>
      </c>
      <c r="AQ12" s="68">
        <f t="shared" ca="1" si="38"/>
        <v>-0.22893656788414571</v>
      </c>
      <c r="AR12" s="65" t="e">
        <f t="shared" ca="1" si="39"/>
        <v>#NAME?</v>
      </c>
      <c r="AS12" s="72">
        <f t="shared" ref="AS12:AS17" si="55">G_Lookup($A12,$E$3, AS$4,$D12)</f>
        <v>-0.02</v>
      </c>
      <c r="AT12" s="19">
        <f t="shared" si="41"/>
        <v>9.2315805567904086E-2</v>
      </c>
      <c r="AU12" s="68">
        <f t="shared" ca="1" si="42"/>
        <v>-0.22983989037689495</v>
      </c>
      <c r="AV12" s="65" t="e">
        <f t="shared" ca="1" si="43"/>
        <v>#NAME?</v>
      </c>
      <c r="AW12" s="406"/>
      <c r="AX12" s="406"/>
      <c r="AY12" s="406"/>
      <c r="AZ12" s="406"/>
    </row>
    <row r="13" spans="1:52" s="10" customFormat="1" ht="15.5">
      <c r="A13" s="61" t="s">
        <v>78</v>
      </c>
      <c r="B13" s="98">
        <v>1</v>
      </c>
      <c r="C13" s="102">
        <f t="shared" si="0"/>
        <v>20</v>
      </c>
      <c r="D13" s="96">
        <v>0.1</v>
      </c>
      <c r="E13" s="72">
        <f t="shared" si="45"/>
        <v>-3.651366951176923E-2</v>
      </c>
      <c r="F13" s="19">
        <f>Atten_to_Te(E13,$C13)</f>
        <v>0.16886052196069201</v>
      </c>
      <c r="G13" s="74">
        <f t="shared" ca="1" si="3"/>
        <v>-0.29929964918739965</v>
      </c>
      <c r="H13" s="75" t="e">
        <f t="shared" ca="1" si="44"/>
        <v>#NAME?</v>
      </c>
      <c r="I13" s="72">
        <f t="shared" si="46"/>
        <v>-3.219710100205557E-2</v>
      </c>
      <c r="J13" s="19">
        <f t="shared" si="5"/>
        <v>0.14882411339390167</v>
      </c>
      <c r="K13" s="74">
        <f t="shared" ca="1" si="6"/>
        <v>-0.28283194032284203</v>
      </c>
      <c r="L13" s="75" t="e">
        <f t="shared" ca="1" si="7"/>
        <v>#NAME?</v>
      </c>
      <c r="M13" s="72">
        <f t="shared" si="47"/>
        <v>-2.9227864868859494E-2</v>
      </c>
      <c r="N13" s="19">
        <f t="shared" si="9"/>
        <v>0.13505323389511492</v>
      </c>
      <c r="O13" s="74">
        <f t="shared" ca="1" si="10"/>
        <v>-0.27150430447469898</v>
      </c>
      <c r="P13" s="75" t="e">
        <f t="shared" ca="1" si="11"/>
        <v>#NAME?</v>
      </c>
      <c r="Q13" s="72">
        <f t="shared" si="48"/>
        <v>-2.6947245073587086E-2</v>
      </c>
      <c r="R13" s="19">
        <f t="shared" si="13"/>
        <v>0.1244824465909522</v>
      </c>
      <c r="S13" s="74">
        <f t="shared" ca="1" si="14"/>
        <v>-0.26280373995573469</v>
      </c>
      <c r="T13" s="75" t="e">
        <f t="shared" ca="1" si="15"/>
        <v>#NAME?</v>
      </c>
      <c r="U13" s="72">
        <f t="shared" si="49"/>
        <v>-2.534448309000159E-2</v>
      </c>
      <c r="V13" s="19">
        <f t="shared" si="17"/>
        <v>0.11705688497813505</v>
      </c>
      <c r="W13" s="74">
        <f t="shared" ca="1" si="18"/>
        <v>-0.25668920298835607</v>
      </c>
      <c r="X13" s="75" t="e">
        <f t="shared" ca="1" si="19"/>
        <v>#NAME?</v>
      </c>
      <c r="Y13" s="72">
        <f t="shared" si="50"/>
        <v>-2.4101229392400985E-2</v>
      </c>
      <c r="Z13" s="19">
        <f t="shared" si="21"/>
        <v>0.11129880449336937</v>
      </c>
      <c r="AA13" s="74">
        <f t="shared" ca="1" si="22"/>
        <v>-0.25194619013200975</v>
      </c>
      <c r="AB13" s="75" t="e">
        <f t="shared" ca="1" si="23"/>
        <v>#NAME?</v>
      </c>
      <c r="AC13" s="72">
        <f t="shared" si="51"/>
        <v>-2.3196862032552633E-2</v>
      </c>
      <c r="AD13" s="19">
        <f t="shared" si="25"/>
        <v>0.10711129823366861</v>
      </c>
      <c r="AE13" s="74">
        <f t="shared" ca="1" si="26"/>
        <v>-0.25024602865418827</v>
      </c>
      <c r="AF13" s="75" t="e">
        <f t="shared" ca="1" si="27"/>
        <v>#NAME?</v>
      </c>
      <c r="AG13" s="72">
        <f t="shared" si="52"/>
        <v>-2.2421488138394612E-2</v>
      </c>
      <c r="AH13" s="19">
        <f t="shared" si="29"/>
        <v>0.10352176666437174</v>
      </c>
      <c r="AI13" s="74">
        <f t="shared" ca="1" si="30"/>
        <v>-0.24953797724797547</v>
      </c>
      <c r="AJ13" s="75" t="e">
        <f t="shared" ca="1" si="31"/>
        <v>#NAME?</v>
      </c>
      <c r="AK13" s="72">
        <f t="shared" si="53"/>
        <v>-2.1847031564167087E-2</v>
      </c>
      <c r="AL13" s="19">
        <f t="shared" si="33"/>
        <v>0.10086277904839402</v>
      </c>
      <c r="AM13" s="74">
        <f t="shared" ca="1" si="34"/>
        <v>-0.24959642541729743</v>
      </c>
      <c r="AN13" s="75" t="e">
        <f t="shared" ca="1" si="35"/>
        <v>#NAME?</v>
      </c>
      <c r="AO13" s="72">
        <f t="shared" si="54"/>
        <v>-2.1380663546765794E-2</v>
      </c>
      <c r="AP13" s="19">
        <f t="shared" ref="AP13" si="56">Atten_to_Te(AO13,$C13)</f>
        <v>9.8704359682031395E-2</v>
      </c>
      <c r="AQ13" s="74">
        <f t="shared" ca="1" si="38"/>
        <v>-0.2503172314309115</v>
      </c>
      <c r="AR13" s="75" t="e">
        <f t="shared" ca="1" si="39"/>
        <v>#NAME?</v>
      </c>
      <c r="AS13" s="72">
        <f t="shared" si="55"/>
        <v>-2.1035485036197142E-2</v>
      </c>
      <c r="AT13" s="19">
        <f t="shared" ref="AT13" si="57">Atten_to_Te(AS13,$C13)</f>
        <v>9.7106972326503893E-2</v>
      </c>
      <c r="AU13" s="74">
        <f t="shared" ca="1" si="42"/>
        <v>-0.25087537541309207</v>
      </c>
      <c r="AV13" s="75" t="e">
        <f t="shared" ca="1" si="43"/>
        <v>#NAME?</v>
      </c>
      <c r="AW13" s="406"/>
      <c r="AX13" s="406"/>
      <c r="AY13" s="406"/>
      <c r="AZ13" s="406"/>
    </row>
    <row r="14" spans="1:52" s="17" customFormat="1" ht="15.5">
      <c r="A14" s="63" t="s">
        <v>166</v>
      </c>
      <c r="B14" s="98">
        <v>4</v>
      </c>
      <c r="C14" s="102">
        <f t="shared" si="0"/>
        <v>190</v>
      </c>
      <c r="D14" s="97"/>
      <c r="E14" s="113">
        <f t="shared" si="45"/>
        <v>0</v>
      </c>
      <c r="F14" s="115">
        <f>T_LNA($A14,E$4,$C14)</f>
        <v>0.10441276603294861</v>
      </c>
      <c r="G14" s="68">
        <f t="shared" ref="G14" ca="1" si="58">E14+OFFSET(G14,-1,0)</f>
        <v>-0.29929964918739965</v>
      </c>
      <c r="H14" s="65" t="e">
        <f t="shared" ref="H14" ca="1" si="59">OFFSET(H14,-1,0)+F14*dbToAbs(-1*OFFSET(G14,-1,0))</f>
        <v>#NAME?</v>
      </c>
      <c r="I14" s="113">
        <f t="shared" si="46"/>
        <v>0</v>
      </c>
      <c r="J14" s="115">
        <f>T_LNA($A14,I$4,$C14)</f>
        <v>0.13450969903298624</v>
      </c>
      <c r="K14" s="68">
        <f t="shared" ca="1" si="6"/>
        <v>-0.28283194032284203</v>
      </c>
      <c r="L14" s="65" t="e">
        <f t="shared" ca="1" si="7"/>
        <v>#NAME?</v>
      </c>
      <c r="M14" s="113">
        <f t="shared" si="47"/>
        <v>0</v>
      </c>
      <c r="N14" s="115">
        <f>T_LNA($A14,M$4,$C14)</f>
        <v>0.16171622725845158</v>
      </c>
      <c r="O14" s="68">
        <f t="shared" ref="O14" ca="1" si="60">M14+OFFSET(O14,-1,0)</f>
        <v>-0.27150430447469898</v>
      </c>
      <c r="P14" s="65" t="e">
        <f t="shared" ref="P14" ca="1" si="61">OFFSET(P14,-1,0)+N14*dbToAbs(-1*OFFSET(O14,-1,0))</f>
        <v>#NAME?</v>
      </c>
      <c r="Q14" s="113">
        <f t="shared" si="48"/>
        <v>0</v>
      </c>
      <c r="R14" s="115">
        <f>T_LNA($A14,Q$4,$C14)</f>
        <v>0.18567507198160393</v>
      </c>
      <c r="S14" s="68">
        <f t="shared" ref="S14" ca="1" si="62">Q14+OFFSET(S14,-1,0)</f>
        <v>-0.26280373995573469</v>
      </c>
      <c r="T14" s="65" t="e">
        <f t="shared" ref="T14" ca="1" si="63">OFFSET(T14,-1,0)+R14*dbToAbs(-1*OFFSET(S14,-1,0))</f>
        <v>#NAME?</v>
      </c>
      <c r="U14" s="113">
        <f t="shared" si="49"/>
        <v>0</v>
      </c>
      <c r="V14" s="115">
        <f>T_LNA($A14,U$4,$C14)</f>
        <v>0.20358866799514533</v>
      </c>
      <c r="W14" s="68">
        <f t="shared" ref="W14" ca="1" si="64">U14+OFFSET(W14,-1,0)</f>
        <v>-0.25668920298835607</v>
      </c>
      <c r="X14" s="65" t="e">
        <f t="shared" ref="X14" ca="1" si="65">OFFSET(X14,-1,0)+V14*dbToAbs(-1*OFFSET(W14,-1,0))</f>
        <v>#NAME?</v>
      </c>
      <c r="Y14" s="113">
        <f t="shared" si="50"/>
        <v>0</v>
      </c>
      <c r="Z14" s="115">
        <f>T_LNA($A14,Y$4,$C14)</f>
        <v>0.21318350631737298</v>
      </c>
      <c r="AA14" s="68">
        <f t="shared" ref="AA14" ca="1" si="66">Y14+OFFSET(AA14,-1,0)</f>
        <v>-0.25194619013200975</v>
      </c>
      <c r="AB14" s="65" t="e">
        <f t="shared" ref="AB14" ca="1" si="67">OFFSET(AB14,-1,0)+Z14*dbToAbs(-1*OFFSET(AA14,-1,0))</f>
        <v>#NAME?</v>
      </c>
      <c r="AC14" s="113">
        <f t="shared" si="51"/>
        <v>0</v>
      </c>
      <c r="AD14" s="115">
        <f>T_LNA($A14,AC$4,$C14)</f>
        <v>0.21814918808440775</v>
      </c>
      <c r="AE14" s="68">
        <f t="shared" ref="AE14" ca="1" si="68">AC14+OFFSET(AE14,-1,0)</f>
        <v>-0.25024602865418827</v>
      </c>
      <c r="AF14" s="65" t="e">
        <f t="shared" ref="AF14" ca="1" si="69">OFFSET(AF14,-1,0)+AD14*dbToAbs(-1*OFFSET(AE14,-1,0))</f>
        <v>#NAME?</v>
      </c>
      <c r="AG14" s="113">
        <f t="shared" si="52"/>
        <v>0</v>
      </c>
      <c r="AH14" s="115">
        <f>T_LNA($A14,AG$4,$C14)</f>
        <v>0.21318350631737298</v>
      </c>
      <c r="AI14" s="68">
        <f t="shared" ref="AI14" ca="1" si="70">AG14+OFFSET(AI14,-1,0)</f>
        <v>-0.24953797724797547</v>
      </c>
      <c r="AJ14" s="65" t="e">
        <f t="shared" ref="AJ14" ca="1" si="71">OFFSET(AJ14,-1,0)+AH14*dbToAbs(-1*OFFSET(AI14,-1,0))</f>
        <v>#NAME?</v>
      </c>
      <c r="AK14" s="113">
        <f t="shared" si="53"/>
        <v>0</v>
      </c>
      <c r="AL14" s="115">
        <f>T_LNA($A14,AK$4,$C14)</f>
        <v>0.19895442412967093</v>
      </c>
      <c r="AM14" s="68">
        <f t="shared" ref="AM14" ca="1" si="72">AK14+OFFSET(AM14,-1,0)</f>
        <v>-0.24959642541729743</v>
      </c>
      <c r="AN14" s="65" t="e">
        <f t="shared" ref="AN14" ca="1" si="73">OFFSET(AN14,-1,0)+AL14*dbToAbs(-1*OFFSET(AM14,-1,0))</f>
        <v>#NAME?</v>
      </c>
      <c r="AO14" s="113">
        <f t="shared" si="54"/>
        <v>0</v>
      </c>
      <c r="AP14" s="115">
        <f>T_LNA($A14,AO$4,$C14)</f>
        <v>0.18144859134407282</v>
      </c>
      <c r="AQ14" s="68">
        <f t="shared" ref="AQ14" ca="1" si="74">AO14+OFFSET(AQ14,-1,0)</f>
        <v>-0.2503172314309115</v>
      </c>
      <c r="AR14" s="65" t="e">
        <f t="shared" ref="AR14" ca="1" si="75">OFFSET(AR14,-1,0)+AP14*dbToAbs(-1*OFFSET(AQ14,-1,0))</f>
        <v>#NAME?</v>
      </c>
      <c r="AS14" s="113">
        <f t="shared" si="55"/>
        <v>0</v>
      </c>
      <c r="AT14" s="115">
        <f>T_LNA($A14,AS$4,$C14)</f>
        <v>0.19</v>
      </c>
      <c r="AU14" s="68">
        <f t="shared" ref="AU14" ca="1" si="76">AS14+OFFSET(AU14,-1,0)</f>
        <v>-0.25087537541309207</v>
      </c>
      <c r="AV14" s="65" t="e">
        <f t="shared" ref="AV14" ca="1" si="77">OFFSET(AV14,-1,0)+AT14*dbToAbs(-1*OFFSET(AU14,-1,0))</f>
        <v>#NAME?</v>
      </c>
      <c r="AW14" s="408"/>
      <c r="AX14" s="407"/>
      <c r="AY14" s="408"/>
      <c r="AZ14" s="408"/>
    </row>
    <row r="15" spans="1:52" s="17" customFormat="1" ht="15.5">
      <c r="A15" s="63" t="s">
        <v>55</v>
      </c>
      <c r="B15" s="98">
        <v>1</v>
      </c>
      <c r="C15" s="102">
        <f t="shared" si="0"/>
        <v>20</v>
      </c>
      <c r="D15" s="97"/>
      <c r="E15" s="113">
        <f t="shared" si="45"/>
        <v>35.076000000000001</v>
      </c>
      <c r="F15" s="115">
        <f>T_LNA($A15,E$4)</f>
        <v>5</v>
      </c>
      <c r="G15" s="68">
        <f t="shared" ca="1" si="3"/>
        <v>34.776700350812604</v>
      </c>
      <c r="H15" s="65" t="e">
        <f t="shared" ca="1" si="44"/>
        <v>#NAME?</v>
      </c>
      <c r="I15" s="113">
        <f t="shared" si="46"/>
        <v>34.648000000000003</v>
      </c>
      <c r="J15" s="115">
        <f>T_LNA($A15,I$4)</f>
        <v>5</v>
      </c>
      <c r="K15" s="68">
        <f t="shared" ca="1" si="6"/>
        <v>34.36516805967716</v>
      </c>
      <c r="L15" s="65" t="e">
        <f t="shared" ca="1" si="7"/>
        <v>#NAME?</v>
      </c>
      <c r="M15" s="113">
        <f t="shared" si="47"/>
        <v>34.28</v>
      </c>
      <c r="N15" s="115">
        <f>T_LNA($A15,M$4)</f>
        <v>5.4399999999999995</v>
      </c>
      <c r="O15" s="68">
        <f t="shared" ca="1" si="10"/>
        <v>34.008495695525305</v>
      </c>
      <c r="P15" s="65" t="e">
        <f t="shared" ca="1" si="11"/>
        <v>#NAME?</v>
      </c>
      <c r="Q15" s="113">
        <f t="shared" si="48"/>
        <v>34.880000000000003</v>
      </c>
      <c r="R15" s="115">
        <f>T_LNA($A15,Q$4)</f>
        <v>6.35</v>
      </c>
      <c r="S15" s="68">
        <f t="shared" ca="1" si="14"/>
        <v>34.617196260044267</v>
      </c>
      <c r="T15" s="65" t="e">
        <f t="shared" ca="1" si="15"/>
        <v>#NAME?</v>
      </c>
      <c r="U15" s="113">
        <f t="shared" si="49"/>
        <v>34.96</v>
      </c>
      <c r="V15" s="115">
        <f>T_LNA($A15,U$4)</f>
        <v>7.1</v>
      </c>
      <c r="W15" s="68">
        <f t="shared" ca="1" si="18"/>
        <v>34.703310797011646</v>
      </c>
      <c r="X15" s="65" t="e">
        <f t="shared" ca="1" si="19"/>
        <v>#NAME?</v>
      </c>
      <c r="Y15" s="113">
        <f t="shared" si="50"/>
        <v>34.64</v>
      </c>
      <c r="Z15" s="115">
        <f>T_LNA($A15,Y$4)</f>
        <v>7.9</v>
      </c>
      <c r="AA15" s="68">
        <f t="shared" ca="1" si="22"/>
        <v>34.388053809867991</v>
      </c>
      <c r="AB15" s="65" t="e">
        <f t="shared" ca="1" si="23"/>
        <v>#NAME?</v>
      </c>
      <c r="AC15" s="113">
        <f t="shared" si="51"/>
        <v>34.18</v>
      </c>
      <c r="AD15" s="115">
        <f>T_LNA($A15,AC$4)</f>
        <v>7.65</v>
      </c>
      <c r="AE15" s="68">
        <f t="shared" ca="1" si="26"/>
        <v>33.929753971345811</v>
      </c>
      <c r="AF15" s="65" t="e">
        <f t="shared" ca="1" si="27"/>
        <v>#NAME?</v>
      </c>
      <c r="AG15" s="113">
        <f t="shared" si="52"/>
        <v>34.36</v>
      </c>
      <c r="AH15" s="115">
        <f>T_LNA($A15,AG$4)</f>
        <v>6.5999999999999979</v>
      </c>
      <c r="AI15" s="68">
        <f t="shared" ca="1" si="30"/>
        <v>34.110462022752024</v>
      </c>
      <c r="AJ15" s="65" t="e">
        <f t="shared" ca="1" si="31"/>
        <v>#NAME?</v>
      </c>
      <c r="AK15" s="113">
        <f t="shared" si="53"/>
        <v>34.799999999999997</v>
      </c>
      <c r="AL15" s="115">
        <f>T_LNA($A15,AK$4)</f>
        <v>6</v>
      </c>
      <c r="AM15" s="68">
        <f t="shared" ca="1" si="34"/>
        <v>34.550403574582703</v>
      </c>
      <c r="AN15" s="65" t="e">
        <f t="shared" ca="1" si="35"/>
        <v>#NAME?</v>
      </c>
      <c r="AO15" s="113">
        <f t="shared" si="54"/>
        <v>34.799999999999997</v>
      </c>
      <c r="AP15" s="115">
        <f>T_LNA($A15,AO$4)</f>
        <v>7</v>
      </c>
      <c r="AQ15" s="68">
        <f t="shared" ca="1" si="38"/>
        <v>34.549682768569085</v>
      </c>
      <c r="AR15" s="65" t="e">
        <f t="shared" ca="1" si="39"/>
        <v>#NAME?</v>
      </c>
      <c r="AS15" s="113">
        <f t="shared" si="55"/>
        <v>34.299999999999997</v>
      </c>
      <c r="AT15" s="115">
        <f>T_LNA($A15,AS$4)</f>
        <v>8.75</v>
      </c>
      <c r="AU15" s="68">
        <f t="shared" ca="1" si="42"/>
        <v>34.049124624586902</v>
      </c>
      <c r="AV15" s="65" t="e">
        <f t="shared" ca="1" si="43"/>
        <v>#NAME?</v>
      </c>
      <c r="AW15" s="408"/>
      <c r="AX15" s="407"/>
      <c r="AY15" s="408"/>
      <c r="AZ15" s="408"/>
    </row>
    <row r="16" spans="1:52" s="10" customFormat="1" ht="15.5">
      <c r="A16" s="538" t="s">
        <v>34</v>
      </c>
      <c r="B16" s="96">
        <v>2</v>
      </c>
      <c r="C16" s="103">
        <f t="shared" si="0"/>
        <v>50</v>
      </c>
      <c r="D16" s="539">
        <v>0.2</v>
      </c>
      <c r="E16" s="534">
        <f t="shared" si="45"/>
        <v>-1.002544652046627</v>
      </c>
      <c r="F16" s="535">
        <f>Atten_to_Te(E16,$C16)</f>
        <v>12.98316336592713</v>
      </c>
      <c r="G16" s="536">
        <f t="shared" ref="G16" ca="1" si="78">E16+OFFSET(G16,-1,0)</f>
        <v>33.774155698765973</v>
      </c>
      <c r="H16" s="537" t="e">
        <f t="shared" ref="H16" ca="1" si="79">OFFSET(H16,-1,0)+F16*dbToAbs(-1*OFFSET(G16,-1,0))</f>
        <v>#NAME?</v>
      </c>
      <c r="I16" s="534">
        <f t="shared" si="46"/>
        <v>-1.0275575523258547</v>
      </c>
      <c r="J16" s="535">
        <f>Atten_to_Te(I16,$C16)</f>
        <v>13.346957301550644</v>
      </c>
      <c r="K16" s="536">
        <f t="shared" ref="K16" ca="1" si="80">I16+OFFSET(K16,-1,0)</f>
        <v>33.337610507351307</v>
      </c>
      <c r="L16" s="537" t="e">
        <f t="shared" ref="L16" ca="1" si="81">OFFSET(L16,-1,0)+J16*dbToAbs(-1*OFFSET(K16,-1,0))</f>
        <v>#NAME?</v>
      </c>
      <c r="M16" s="534">
        <f t="shared" si="47"/>
        <v>-1.0537615430945697</v>
      </c>
      <c r="N16" s="535">
        <f>Atten_to_Te(M16,$C16)</f>
        <v>13.730328731145514</v>
      </c>
      <c r="O16" s="536">
        <f t="shared" ref="O16" ca="1" si="82">M16+OFFSET(O16,-1,0)</f>
        <v>32.954734152430738</v>
      </c>
      <c r="P16" s="537" t="e">
        <f t="shared" ref="P16" ca="1" si="83">OFFSET(P16,-1,0)+N16*dbToAbs(-1*OFFSET(O16,-1,0))</f>
        <v>#NAME?</v>
      </c>
      <c r="Q16" s="534">
        <f t="shared" si="48"/>
        <v>-1.0825783958373774</v>
      </c>
      <c r="R16" s="535">
        <f>Atten_to_Te(Q16,$C16)</f>
        <v>14.154606263138591</v>
      </c>
      <c r="S16" s="536">
        <f t="shared" ref="S16" ca="1" si="84">Q16+OFFSET(S16,-1,0)</f>
        <v>33.534617864206886</v>
      </c>
      <c r="T16" s="537" t="e">
        <f t="shared" ref="T16" ca="1" si="85">OFFSET(T16,-1,0)+R16*dbToAbs(-1*OFFSET(S16,-1,0))</f>
        <v>#NAME?</v>
      </c>
      <c r="U16" s="534">
        <f t="shared" si="49"/>
        <v>-1.1102976377294784</v>
      </c>
      <c r="V16" s="535">
        <f>Atten_to_Te(U16,$C16)</f>
        <v>14.565388428842308</v>
      </c>
      <c r="W16" s="536">
        <f t="shared" ref="W16" ca="1" si="86">U16+OFFSET(W16,-1,0)</f>
        <v>33.593013159282165</v>
      </c>
      <c r="X16" s="537" t="e">
        <f t="shared" ref="X16" ca="1" si="87">OFFSET(X16,-1,0)+V16*dbToAbs(-1*OFFSET(W16,-1,0))</f>
        <v>#NAME?</v>
      </c>
      <c r="Y16" s="534">
        <f t="shared" si="50"/>
        <v>-1.1398648290810531</v>
      </c>
      <c r="Z16" s="535">
        <f>Atten_to_Te(Y16,$C16)</f>
        <v>15.006455592722856</v>
      </c>
      <c r="AA16" s="536">
        <f t="shared" ref="AA16" ca="1" si="88">Y16+OFFSET(AA16,-1,0)</f>
        <v>33.248188980786935</v>
      </c>
      <c r="AB16" s="537" t="e">
        <f t="shared" ref="AB16" ca="1" si="89">OFFSET(AB16,-1,0)+Z16*dbToAbs(-1*OFFSET(AA16,-1,0))</f>
        <v>#NAME?</v>
      </c>
      <c r="AC16" s="534">
        <f t="shared" si="51"/>
        <v>-1.1678622338737596</v>
      </c>
      <c r="AD16" s="535">
        <f>Atten_to_Te(AC16,$C16)</f>
        <v>15.426882569356792</v>
      </c>
      <c r="AE16" s="536">
        <f t="shared" ref="AE16" ca="1" si="90">AC16+OFFSET(AE16,-1,0)</f>
        <v>32.761891737472048</v>
      </c>
      <c r="AF16" s="537" t="e">
        <f t="shared" ref="AF16" ca="1" si="91">OFFSET(AF16,-1,0)+AD16*dbToAbs(-1*OFFSET(AE16,-1,0))</f>
        <v>#NAME?</v>
      </c>
      <c r="AG16" s="534">
        <f t="shared" si="52"/>
        <v>-1.1991070271400219</v>
      </c>
      <c r="AH16" s="535">
        <f>Atten_to_Te(AG16,$C16)</f>
        <v>15.899285679463038</v>
      </c>
      <c r="AI16" s="536">
        <f t="shared" ref="AI16" ca="1" si="92">AG16+OFFSET(AI16,-1,0)</f>
        <v>32.911354995612001</v>
      </c>
      <c r="AJ16" s="537" t="e">
        <f t="shared" ref="AJ16" ca="1" si="93">OFFSET(AJ16,-1,0)+AH16*dbToAbs(-1*OFFSET(AI16,-1,0))</f>
        <v>#NAME?</v>
      </c>
      <c r="AK16" s="534">
        <f t="shared" si="53"/>
        <v>-1.2294131047038861</v>
      </c>
      <c r="AL16" s="535">
        <f>Atten_to_Te(AK16,$C16)</f>
        <v>16.360754445034885</v>
      </c>
      <c r="AM16" s="536">
        <f t="shared" ref="AM16" ca="1" si="94">AK16+OFFSET(AM16,-1,0)</f>
        <v>33.320990469878815</v>
      </c>
      <c r="AN16" s="537" t="e">
        <f t="shared" ref="AN16" ca="1" si="95">OFFSET(AN16,-1,0)+AL16*dbToAbs(-1*OFFSET(AM16,-1,0))</f>
        <v>#NAME?</v>
      </c>
      <c r="AO16" s="534">
        <f t="shared" si="54"/>
        <v>-1.2622521102616033</v>
      </c>
      <c r="AP16" s="535">
        <f>Atten_to_Te(AO16,$C16)</f>
        <v>16.864440567775819</v>
      </c>
      <c r="AQ16" s="536">
        <f t="shared" ref="AQ16" ca="1" si="96">AO16+OFFSET(AQ16,-1,0)</f>
        <v>33.287430658307478</v>
      </c>
      <c r="AR16" s="537" t="e">
        <f t="shared" ref="AR16" ca="1" si="97">OFFSET(AR16,-1,0)+AP16*dbToAbs(-1*OFFSET(AQ16,-1,0))</f>
        <v>#NAME?</v>
      </c>
      <c r="AS16" s="534">
        <f t="shared" si="55"/>
        <v>-1.2942902184809135</v>
      </c>
      <c r="AT16" s="535">
        <f>Atten_to_Te(AS16,$C16)</f>
        <v>17.359526582265929</v>
      </c>
      <c r="AU16" s="536">
        <f t="shared" ref="AU16" ca="1" si="98">AS16+OFFSET(AU16,-1,0)</f>
        <v>32.754834406105985</v>
      </c>
      <c r="AV16" s="537" t="e">
        <f t="shared" ref="AV16" ca="1" si="99">OFFSET(AV16,-1,0)+AT16*dbToAbs(-1*OFFSET(AU16,-1,0))</f>
        <v>#NAME?</v>
      </c>
      <c r="AW16" s="406"/>
      <c r="AX16" s="406"/>
      <c r="AY16" s="406"/>
      <c r="AZ16" s="406"/>
    </row>
    <row r="17" spans="1:52" s="10" customFormat="1" ht="16" thickBot="1">
      <c r="A17" s="127" t="s">
        <v>34</v>
      </c>
      <c r="B17" s="98">
        <v>4</v>
      </c>
      <c r="C17" s="102">
        <f t="shared" si="0"/>
        <v>190</v>
      </c>
      <c r="D17" s="540">
        <v>0.25</v>
      </c>
      <c r="E17" s="128">
        <f t="shared" si="45"/>
        <v>-1.2531808150582837</v>
      </c>
      <c r="F17" s="129">
        <f>Atten_to_Te(E17,$C17)</f>
        <v>63.554710058880126</v>
      </c>
      <c r="G17" s="83">
        <f t="shared" ca="1" si="3"/>
        <v>32.520974883707687</v>
      </c>
      <c r="H17" s="84" t="e">
        <f t="shared" ca="1" si="44"/>
        <v>#NAME?</v>
      </c>
      <c r="I17" s="128">
        <f t="shared" si="46"/>
        <v>-1.2844469404073182</v>
      </c>
      <c r="J17" s="129">
        <f>Atten_to_Te(I17,$C17)</f>
        <v>65.386710947552302</v>
      </c>
      <c r="K17" s="83">
        <f t="shared" ca="1" si="6"/>
        <v>32.053163566943986</v>
      </c>
      <c r="L17" s="84" t="e">
        <f t="shared" ca="1" si="7"/>
        <v>#NAME?</v>
      </c>
      <c r="M17" s="128">
        <f t="shared" si="47"/>
        <v>-1.317201928868212</v>
      </c>
      <c r="N17" s="129">
        <f>Atten_to_Te(M17,$C17)</f>
        <v>67.320148783800292</v>
      </c>
      <c r="O17" s="83">
        <f t="shared" ca="1" si="10"/>
        <v>31.637532223562527</v>
      </c>
      <c r="P17" s="84" t="e">
        <f t="shared" ca="1" si="11"/>
        <v>#NAME?</v>
      </c>
      <c r="Q17" s="128">
        <f t="shared" si="48"/>
        <v>-1.3532229947967216</v>
      </c>
      <c r="R17" s="129">
        <f>Atten_to_Te(Q17,$C17)</f>
        <v>69.463277921378392</v>
      </c>
      <c r="S17" s="83">
        <f t="shared" ca="1" si="14"/>
        <v>32.181394869410163</v>
      </c>
      <c r="T17" s="84" t="e">
        <f t="shared" ca="1" si="15"/>
        <v>#NAME?</v>
      </c>
      <c r="U17" s="128">
        <f t="shared" si="49"/>
        <v>-1.387872047161848</v>
      </c>
      <c r="V17" s="129">
        <f>Atten_to_Te(U17,$C17)</f>
        <v>71.541617724039156</v>
      </c>
      <c r="W17" s="83">
        <f t="shared" ca="1" si="18"/>
        <v>32.205141112120316</v>
      </c>
      <c r="X17" s="84" t="e">
        <f t="shared" ca="1" si="19"/>
        <v>#NAME?</v>
      </c>
      <c r="Y17" s="128">
        <f t="shared" si="50"/>
        <v>-1.4248310363513164</v>
      </c>
      <c r="Z17" s="129">
        <f>Atten_to_Te(Y17,$C17)</f>
        <v>73.77686636405349</v>
      </c>
      <c r="AA17" s="83">
        <f t="shared" ca="1" si="22"/>
        <v>31.823357944435617</v>
      </c>
      <c r="AB17" s="84" t="e">
        <f t="shared" ca="1" si="23"/>
        <v>#NAME?</v>
      </c>
      <c r="AC17" s="128">
        <f t="shared" si="51"/>
        <v>-1.4598277923421994</v>
      </c>
      <c r="AD17" s="129">
        <f>Atten_to_Te(AC17,$C17)</f>
        <v>75.911047100832434</v>
      </c>
      <c r="AE17" s="83">
        <f t="shared" ca="1" si="26"/>
        <v>31.302063945129849</v>
      </c>
      <c r="AF17" s="84" t="e">
        <f t="shared" ca="1" si="27"/>
        <v>#NAME?</v>
      </c>
      <c r="AG17" s="128">
        <f t="shared" si="52"/>
        <v>-1.4988837839250273</v>
      </c>
      <c r="AH17" s="129">
        <f>Atten_to_Te(AG17,$C17)</f>
        <v>78.313163235870363</v>
      </c>
      <c r="AI17" s="83">
        <f t="shared" ca="1" si="30"/>
        <v>31.412471211686974</v>
      </c>
      <c r="AJ17" s="84" t="e">
        <f t="shared" ca="1" si="31"/>
        <v>#NAME?</v>
      </c>
      <c r="AK17" s="128">
        <f t="shared" si="53"/>
        <v>-1.5367663808798575</v>
      </c>
      <c r="AL17" s="129">
        <f>Atten_to_Te(AK17,$C17)</f>
        <v>80.663840020040155</v>
      </c>
      <c r="AM17" s="83">
        <f t="shared" ca="1" si="34"/>
        <v>31.784224088998958</v>
      </c>
      <c r="AN17" s="84" t="e">
        <f t="shared" ca="1" si="35"/>
        <v>#NAME?</v>
      </c>
      <c r="AO17" s="128">
        <f t="shared" si="54"/>
        <v>-1.577815137827004</v>
      </c>
      <c r="AP17" s="129">
        <f>Atten_to_Te(AO17,$C17)</f>
        <v>83.234235757770321</v>
      </c>
      <c r="AQ17" s="83">
        <f t="shared" ca="1" si="38"/>
        <v>31.709615520480476</v>
      </c>
      <c r="AR17" s="84" t="e">
        <f t="shared" ca="1" si="39"/>
        <v>#NAME?</v>
      </c>
      <c r="AS17" s="128">
        <f t="shared" si="55"/>
        <v>-1.6178627731011419</v>
      </c>
      <c r="AT17" s="129">
        <f>Atten_to_Te(AS17,$C17)</f>
        <v>85.765465710337295</v>
      </c>
      <c r="AU17" s="83">
        <f t="shared" ca="1" si="42"/>
        <v>31.136971633004844</v>
      </c>
      <c r="AV17" s="84" t="e">
        <f t="shared" ca="1" si="43"/>
        <v>#NAME?</v>
      </c>
      <c r="AW17" s="406"/>
      <c r="AX17" s="406"/>
      <c r="AY17" s="406"/>
      <c r="AZ17" s="406"/>
    </row>
    <row r="18" spans="1:52" s="10" customFormat="1" ht="16" thickBot="1">
      <c r="A18" s="105" t="s">
        <v>23</v>
      </c>
      <c r="B18" s="100"/>
      <c r="C18" s="100"/>
      <c r="D18" s="94"/>
      <c r="E18" s="86"/>
      <c r="F18" s="86"/>
      <c r="G18" s="88">
        <f ca="1">G17</f>
        <v>32.520974883707687</v>
      </c>
      <c r="H18" s="87" t="e">
        <f ca="1">H17</f>
        <v>#NAME?</v>
      </c>
      <c r="I18" s="86"/>
      <c r="J18" s="86"/>
      <c r="K18" s="88">
        <f ca="1">K17</f>
        <v>32.053163566943986</v>
      </c>
      <c r="L18" s="87" t="e">
        <f ca="1">L17</f>
        <v>#NAME?</v>
      </c>
      <c r="M18" s="86"/>
      <c r="N18" s="86"/>
      <c r="O18" s="88">
        <f ca="1">O17</f>
        <v>31.637532223562527</v>
      </c>
      <c r="P18" s="87" t="e">
        <f ca="1">P17</f>
        <v>#NAME?</v>
      </c>
      <c r="Q18" s="86"/>
      <c r="R18" s="86"/>
      <c r="S18" s="88">
        <f ca="1">S17</f>
        <v>32.181394869410163</v>
      </c>
      <c r="T18" s="87" t="e">
        <f ca="1">T17</f>
        <v>#NAME?</v>
      </c>
      <c r="U18" s="86"/>
      <c r="V18" s="86"/>
      <c r="W18" s="88">
        <f ca="1">W17</f>
        <v>32.205141112120316</v>
      </c>
      <c r="X18" s="87" t="e">
        <f ca="1">X17</f>
        <v>#NAME?</v>
      </c>
      <c r="Y18" s="86"/>
      <c r="Z18" s="86"/>
      <c r="AA18" s="88">
        <f ca="1">AA17</f>
        <v>31.823357944435617</v>
      </c>
      <c r="AB18" s="87" t="e">
        <f ca="1">AB17</f>
        <v>#NAME?</v>
      </c>
      <c r="AC18" s="86"/>
      <c r="AD18" s="86"/>
      <c r="AE18" s="88">
        <f ca="1">AE17</f>
        <v>31.302063945129849</v>
      </c>
      <c r="AF18" s="87" t="e">
        <f ca="1">AF17</f>
        <v>#NAME?</v>
      </c>
      <c r="AG18" s="86"/>
      <c r="AH18" s="86"/>
      <c r="AI18" s="88">
        <f ca="1">AI17</f>
        <v>31.412471211686974</v>
      </c>
      <c r="AJ18" s="87" t="e">
        <f ca="1">AJ17</f>
        <v>#NAME?</v>
      </c>
      <c r="AK18" s="86"/>
      <c r="AL18" s="86"/>
      <c r="AM18" s="88">
        <f ca="1">AM17</f>
        <v>31.784224088998958</v>
      </c>
      <c r="AN18" s="87" t="e">
        <f ca="1">AN17</f>
        <v>#NAME?</v>
      </c>
      <c r="AO18" s="86"/>
      <c r="AP18" s="86"/>
      <c r="AQ18" s="88">
        <f ca="1">AQ17</f>
        <v>31.709615520480476</v>
      </c>
      <c r="AR18" s="87" t="e">
        <f ca="1">AR17</f>
        <v>#NAME?</v>
      </c>
      <c r="AS18" s="86"/>
      <c r="AT18" s="86"/>
      <c r="AU18" s="88">
        <f ca="1">AU17</f>
        <v>31.136971633004844</v>
      </c>
      <c r="AV18" s="87" t="e">
        <f ca="1">AV17</f>
        <v>#NAME?</v>
      </c>
      <c r="AW18" s="406"/>
      <c r="AX18" s="406"/>
      <c r="AY18" s="406"/>
      <c r="AZ18" s="406"/>
    </row>
    <row r="19" spans="1:52" s="10" customFormat="1" ht="20.149999999999999" customHeight="1" thickBot="1">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406"/>
      <c r="AX19" s="406"/>
      <c r="AY19" s="406"/>
      <c r="AZ19" s="406"/>
    </row>
    <row r="20" spans="1:52" s="43" customFormat="1" ht="19.5" customHeight="1" thickBot="1">
      <c r="A20" s="59" t="s">
        <v>231</v>
      </c>
      <c r="B20" s="618" t="s">
        <v>158</v>
      </c>
      <c r="C20" s="618" t="s">
        <v>32</v>
      </c>
      <c r="D20" s="618" t="s">
        <v>33</v>
      </c>
      <c r="E20" s="394">
        <v>4</v>
      </c>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6"/>
      <c r="AW20" s="403"/>
      <c r="AX20" s="403"/>
      <c r="AY20" s="403"/>
      <c r="AZ20" s="403"/>
    </row>
    <row r="21" spans="1:52" s="44" customFormat="1" ht="18.5" thickBot="1">
      <c r="A21" s="70" t="s">
        <v>7</v>
      </c>
      <c r="B21" s="619"/>
      <c r="C21" s="619"/>
      <c r="D21" s="619"/>
      <c r="E21" s="621">
        <f>fLO_Band4</f>
        <v>20.5</v>
      </c>
      <c r="F21" s="621"/>
      <c r="G21" s="621"/>
      <c r="H21" s="622"/>
      <c r="I21" s="620">
        <v>21.6</v>
      </c>
      <c r="J21" s="621"/>
      <c r="K21" s="621"/>
      <c r="L21" s="622"/>
      <c r="M21" s="620">
        <v>22.7</v>
      </c>
      <c r="N21" s="621"/>
      <c r="O21" s="621"/>
      <c r="P21" s="622"/>
      <c r="Q21" s="620">
        <v>23.9</v>
      </c>
      <c r="R21" s="621"/>
      <c r="S21" s="621"/>
      <c r="T21" s="622"/>
      <c r="U21" s="620">
        <v>25.1</v>
      </c>
      <c r="V21" s="621"/>
      <c r="W21" s="621"/>
      <c r="X21" s="622"/>
      <c r="Y21" s="620">
        <v>26.4</v>
      </c>
      <c r="Z21" s="621"/>
      <c r="AA21" s="621"/>
      <c r="AB21" s="622"/>
      <c r="AC21" s="620">
        <v>27.8</v>
      </c>
      <c r="AD21" s="621"/>
      <c r="AE21" s="621"/>
      <c r="AF21" s="622"/>
      <c r="AG21" s="620">
        <v>29.2</v>
      </c>
      <c r="AH21" s="621"/>
      <c r="AI21" s="621"/>
      <c r="AJ21" s="622"/>
      <c r="AK21" s="620">
        <v>30.7</v>
      </c>
      <c r="AL21" s="621"/>
      <c r="AM21" s="621"/>
      <c r="AN21" s="622"/>
      <c r="AO21" s="620">
        <v>32.4</v>
      </c>
      <c r="AP21" s="621"/>
      <c r="AQ21" s="621"/>
      <c r="AR21" s="622"/>
      <c r="AS21" s="620">
        <f>fHI_Band4</f>
        <v>34</v>
      </c>
      <c r="AT21" s="621"/>
      <c r="AU21" s="621"/>
      <c r="AV21" s="622"/>
      <c r="AW21" s="404"/>
      <c r="AX21" s="404"/>
      <c r="AY21" s="404"/>
      <c r="AZ21" s="404"/>
    </row>
    <row r="22" spans="1:52" s="11" customFormat="1" ht="16.5" thickTop="1" thickBot="1">
      <c r="A22" s="60" t="s">
        <v>20</v>
      </c>
      <c r="B22" s="99" t="s">
        <v>13</v>
      </c>
      <c r="C22" s="99" t="s">
        <v>29</v>
      </c>
      <c r="D22" s="93" t="s">
        <v>30</v>
      </c>
      <c r="E22" s="55" t="s">
        <v>22</v>
      </c>
      <c r="F22" s="45" t="s">
        <v>21</v>
      </c>
      <c r="G22" s="67" t="s">
        <v>24</v>
      </c>
      <c r="H22" s="64" t="s">
        <v>25</v>
      </c>
      <c r="I22" s="56" t="s">
        <v>22</v>
      </c>
      <c r="J22" s="45" t="s">
        <v>21</v>
      </c>
      <c r="K22" s="67" t="s">
        <v>24</v>
      </c>
      <c r="L22" s="64" t="s">
        <v>25</v>
      </c>
      <c r="M22" s="56" t="s">
        <v>22</v>
      </c>
      <c r="N22" s="45" t="s">
        <v>21</v>
      </c>
      <c r="O22" s="67" t="s">
        <v>24</v>
      </c>
      <c r="P22" s="64" t="s">
        <v>25</v>
      </c>
      <c r="Q22" s="56" t="s">
        <v>22</v>
      </c>
      <c r="R22" s="45" t="s">
        <v>21</v>
      </c>
      <c r="S22" s="67" t="s">
        <v>24</v>
      </c>
      <c r="T22" s="64" t="s">
        <v>25</v>
      </c>
      <c r="U22" s="56" t="s">
        <v>22</v>
      </c>
      <c r="V22" s="45" t="s">
        <v>21</v>
      </c>
      <c r="W22" s="67" t="s">
        <v>24</v>
      </c>
      <c r="X22" s="64" t="s">
        <v>25</v>
      </c>
      <c r="Y22" s="56" t="s">
        <v>22</v>
      </c>
      <c r="Z22" s="45" t="s">
        <v>21</v>
      </c>
      <c r="AA22" s="67" t="s">
        <v>24</v>
      </c>
      <c r="AB22" s="64" t="s">
        <v>25</v>
      </c>
      <c r="AC22" s="56" t="s">
        <v>22</v>
      </c>
      <c r="AD22" s="45" t="s">
        <v>21</v>
      </c>
      <c r="AE22" s="67" t="s">
        <v>24</v>
      </c>
      <c r="AF22" s="64" t="s">
        <v>25</v>
      </c>
      <c r="AG22" s="56" t="s">
        <v>22</v>
      </c>
      <c r="AH22" s="45" t="s">
        <v>21</v>
      </c>
      <c r="AI22" s="67" t="s">
        <v>24</v>
      </c>
      <c r="AJ22" s="64" t="s">
        <v>25</v>
      </c>
      <c r="AK22" s="56" t="s">
        <v>22</v>
      </c>
      <c r="AL22" s="45" t="s">
        <v>21</v>
      </c>
      <c r="AM22" s="67" t="s">
        <v>24</v>
      </c>
      <c r="AN22" s="64" t="s">
        <v>25</v>
      </c>
      <c r="AO22" s="56" t="s">
        <v>22</v>
      </c>
      <c r="AP22" s="45" t="s">
        <v>21</v>
      </c>
      <c r="AQ22" s="67" t="s">
        <v>24</v>
      </c>
      <c r="AR22" s="64" t="s">
        <v>25</v>
      </c>
      <c r="AS22" s="56" t="s">
        <v>22</v>
      </c>
      <c r="AT22" s="45" t="s">
        <v>21</v>
      </c>
      <c r="AU22" s="67" t="s">
        <v>24</v>
      </c>
      <c r="AV22" s="64" t="s">
        <v>25</v>
      </c>
      <c r="AW22" s="405"/>
      <c r="AX22" s="405"/>
      <c r="AY22" s="405"/>
      <c r="AZ22" s="405"/>
    </row>
    <row r="23" spans="1:52" s="10" customFormat="1" ht="16" thickTop="1">
      <c r="A23" s="77" t="s">
        <v>19</v>
      </c>
      <c r="B23" s="101">
        <v>1</v>
      </c>
      <c r="C23" s="101">
        <f t="shared" ref="C23:C34" si="100">INDEX(Stage_Temp_Table,$B23)</f>
        <v>20</v>
      </c>
      <c r="D23" s="101"/>
      <c r="E23" s="78">
        <v>0</v>
      </c>
      <c r="F23" s="79">
        <v>0</v>
      </c>
      <c r="G23" s="80">
        <v>0</v>
      </c>
      <c r="H23" s="81">
        <v>0</v>
      </c>
      <c r="I23" s="78">
        <v>0</v>
      </c>
      <c r="J23" s="79">
        <v>0</v>
      </c>
      <c r="K23" s="80">
        <v>0</v>
      </c>
      <c r="L23" s="81">
        <v>0</v>
      </c>
      <c r="M23" s="78">
        <v>0</v>
      </c>
      <c r="N23" s="79">
        <v>0</v>
      </c>
      <c r="O23" s="80">
        <v>0</v>
      </c>
      <c r="P23" s="81">
        <v>0</v>
      </c>
      <c r="Q23" s="78">
        <v>0</v>
      </c>
      <c r="R23" s="79">
        <v>0</v>
      </c>
      <c r="S23" s="80">
        <v>0</v>
      </c>
      <c r="T23" s="81">
        <v>0</v>
      </c>
      <c r="U23" s="78">
        <v>0</v>
      </c>
      <c r="V23" s="79">
        <v>0</v>
      </c>
      <c r="W23" s="80">
        <v>0</v>
      </c>
      <c r="X23" s="81">
        <v>0</v>
      </c>
      <c r="Y23" s="78">
        <v>0</v>
      </c>
      <c r="Z23" s="79">
        <v>0</v>
      </c>
      <c r="AA23" s="80">
        <v>0</v>
      </c>
      <c r="AB23" s="81">
        <v>0</v>
      </c>
      <c r="AC23" s="78">
        <v>0</v>
      </c>
      <c r="AD23" s="79">
        <v>0</v>
      </c>
      <c r="AE23" s="80">
        <v>0</v>
      </c>
      <c r="AF23" s="81">
        <v>0</v>
      </c>
      <c r="AG23" s="78">
        <v>0</v>
      </c>
      <c r="AH23" s="79">
        <v>0</v>
      </c>
      <c r="AI23" s="80">
        <v>0</v>
      </c>
      <c r="AJ23" s="81">
        <v>0</v>
      </c>
      <c r="AK23" s="78">
        <v>0</v>
      </c>
      <c r="AL23" s="79">
        <v>0</v>
      </c>
      <c r="AM23" s="80">
        <v>0</v>
      </c>
      <c r="AN23" s="81">
        <v>0</v>
      </c>
      <c r="AO23" s="78">
        <v>0</v>
      </c>
      <c r="AP23" s="79">
        <v>0</v>
      </c>
      <c r="AQ23" s="80">
        <v>0</v>
      </c>
      <c r="AR23" s="81">
        <v>0</v>
      </c>
      <c r="AS23" s="78">
        <v>0</v>
      </c>
      <c r="AT23" s="79">
        <v>0</v>
      </c>
      <c r="AU23" s="80">
        <v>0</v>
      </c>
      <c r="AV23" s="81">
        <v>0</v>
      </c>
      <c r="AW23" s="406"/>
      <c r="AX23" s="406"/>
      <c r="AY23" s="406"/>
      <c r="AZ23" s="406"/>
    </row>
    <row r="24" spans="1:52" s="10" customFormat="1" ht="15.5">
      <c r="A24" s="61" t="s">
        <v>5</v>
      </c>
      <c r="B24" s="98">
        <v>5</v>
      </c>
      <c r="C24" s="102">
        <f t="shared" si="100"/>
        <v>300</v>
      </c>
      <c r="D24" s="96"/>
      <c r="E24" s="71">
        <f>G_Lookup($A24,$E$20, E$21,$D24)</f>
        <v>-4.0625000000000001E-2</v>
      </c>
      <c r="F24" s="19">
        <f>Atten_to_Te(E24,$C24)</f>
        <v>2.8194419081791322</v>
      </c>
      <c r="G24" s="68">
        <f ca="1">E24+OFFSET(G24,-1,0)</f>
        <v>-4.0625000000000001E-2</v>
      </c>
      <c r="H24" s="65" t="e">
        <f ca="1">OFFSET(H24,-1,0)+F24*dbToAbs(-1*OFFSET(G24,-1,0))</f>
        <v>#NAME?</v>
      </c>
      <c r="I24" s="71">
        <f>G_Lookup($A24,$E$20, I$21,$D24)</f>
        <v>-4.2000000000000003E-2</v>
      </c>
      <c r="J24" s="19">
        <f>Atten_to_Te(I24,$C24)</f>
        <v>2.9153313727025898</v>
      </c>
      <c r="K24" s="68">
        <f ca="1">I24+OFFSET(K24,-1,0)</f>
        <v>-4.2000000000000003E-2</v>
      </c>
      <c r="L24" s="65" t="e">
        <f ca="1">OFFSET(L24,-1,0)+J24*dbToAbs(-1*OFFSET(K24,-1,0))</f>
        <v>#NAME?</v>
      </c>
      <c r="M24" s="71">
        <f>G_Lookup($A24,$E$20, M$21,$D24)</f>
        <v>-4.3375000000000004E-2</v>
      </c>
      <c r="N24" s="19">
        <f>Atten_to_Te(M24,$C24)</f>
        <v>3.0112512011596149</v>
      </c>
      <c r="O24" s="68">
        <f ca="1">M24+OFFSET(O24,-1,0)</f>
        <v>-4.3375000000000004E-2</v>
      </c>
      <c r="P24" s="65" t="e">
        <f ca="1">OFFSET(P24,-1,0)+N24*dbToAbs(-1*OFFSET(O24,-1,0))</f>
        <v>#NAME?</v>
      </c>
      <c r="Q24" s="71">
        <f>G_Lookup($A24,$E$20, Q$21,$D24)</f>
        <v>-4.4874999999999998E-2</v>
      </c>
      <c r="R24" s="19">
        <f>Atten_to_Te(Q24,$C24)</f>
        <v>3.1159256552606651</v>
      </c>
      <c r="S24" s="68">
        <f ca="1">Q24+OFFSET(S24,-1,0)</f>
        <v>-4.4874999999999998E-2</v>
      </c>
      <c r="T24" s="65" t="e">
        <f ca="1">OFFSET(T24,-1,0)+R24*dbToAbs(-1*OFFSET(S24,-1,0))</f>
        <v>#NAME?</v>
      </c>
      <c r="U24" s="71">
        <f>G_Lookup($A24,$E$20, U$21,$D24)</f>
        <v>-4.6375000000000006E-2</v>
      </c>
      <c r="V24" s="19">
        <f>Atten_to_Te(U24,$C24)</f>
        <v>3.2206362688814938</v>
      </c>
      <c r="W24" s="68">
        <f ca="1">U24+OFFSET(W24,-1,0)</f>
        <v>-4.6375000000000006E-2</v>
      </c>
      <c r="X24" s="65" t="e">
        <f ca="1">OFFSET(X24,-1,0)+V24*dbToAbs(-1*OFFSET(W24,-1,0))</f>
        <v>#NAME?</v>
      </c>
      <c r="Y24" s="71">
        <f>G_Lookup($A24,$E$20, Y$21,$D24)</f>
        <v>-4.8000000000000001E-2</v>
      </c>
      <c r="Z24" s="19">
        <f>Atten_to_Te(Y24,$C24)</f>
        <v>3.3341135864720872</v>
      </c>
      <c r="AA24" s="68">
        <f ca="1">Y24+OFFSET(AA24,-1,0)</f>
        <v>-4.8000000000000001E-2</v>
      </c>
      <c r="AB24" s="65" t="e">
        <f ca="1">OFFSET(AB24,-1,0)+Z24*dbToAbs(-1*OFFSET(AA24,-1,0))</f>
        <v>#NAME?</v>
      </c>
      <c r="AC24" s="71">
        <f>G_Lookup($A24,$E$20, AC$21,$D24)</f>
        <v>-4.9750000000000003E-2</v>
      </c>
      <c r="AD24" s="19">
        <f>Atten_to_Te(AC24,$C24)</f>
        <v>3.4563674224802998</v>
      </c>
      <c r="AE24" s="68">
        <f ca="1">AC24+OFFSET(AE24,-1,0)</f>
        <v>-4.9750000000000003E-2</v>
      </c>
      <c r="AF24" s="65" t="e">
        <f ca="1">OFFSET(AF24,-1,0)+AD24*dbToAbs(-1*OFFSET(AE24,-1,0))</f>
        <v>#NAME?</v>
      </c>
      <c r="AG24" s="71">
        <f>G_Lookup($A24,$E$20, AG$21,$D24)</f>
        <v>-0.05</v>
      </c>
      <c r="AH24" s="19">
        <f>Atten_to_Te(AG24,$C24)</f>
        <v>3.4738362779695775</v>
      </c>
      <c r="AI24" s="68">
        <f ca="1">AG24+OFFSET(AI24,-1,0)</f>
        <v>-0.05</v>
      </c>
      <c r="AJ24" s="65" t="e">
        <f ca="1">OFFSET(AJ24,-1,0)+AH24*dbToAbs(-1*OFFSET(AI24,-1,0))</f>
        <v>#NAME?</v>
      </c>
      <c r="AK24" s="71">
        <f>G_Lookup($A24,$E$20, AK$21,$D24)</f>
        <v>-0.05</v>
      </c>
      <c r="AL24" s="19">
        <f>Atten_to_Te(AK24,$C24)</f>
        <v>3.4738362779695775</v>
      </c>
      <c r="AM24" s="68">
        <f ca="1">AK24+OFFSET(AM24,-1,0)</f>
        <v>-0.05</v>
      </c>
      <c r="AN24" s="65" t="e">
        <f ca="1">OFFSET(AN24,-1,0)+AL24*dbToAbs(-1*OFFSET(AM24,-1,0))</f>
        <v>#NAME?</v>
      </c>
      <c r="AO24" s="71">
        <f>G_Lookup($A24,$E$20, AO$21,$D24)</f>
        <v>-0.05</v>
      </c>
      <c r="AP24" s="19">
        <f>Atten_to_Te(AO24,$C24)</f>
        <v>3.4738362779695775</v>
      </c>
      <c r="AQ24" s="68">
        <f ca="1">AO24+OFFSET(AQ24,-1,0)</f>
        <v>-0.05</v>
      </c>
      <c r="AR24" s="65" t="e">
        <f ca="1">OFFSET(AR24,-1,0)+AP24*dbToAbs(-1*OFFSET(AQ24,-1,0))</f>
        <v>#NAME?</v>
      </c>
      <c r="AS24" s="71">
        <f>G_Lookup($A24,$E$20, AS$21,$D24)</f>
        <v>-0.05</v>
      </c>
      <c r="AT24" s="19">
        <f>Atten_to_Te(AS24,$C24)</f>
        <v>3.4738362779695775</v>
      </c>
      <c r="AU24" s="68">
        <f ca="1">AS24+OFFSET(AU24,-1,0)</f>
        <v>-0.05</v>
      </c>
      <c r="AV24" s="65" t="e">
        <f ca="1">OFFSET(AV24,-1,0)+AT24*dbToAbs(-1*OFFSET(AU24,-1,0))</f>
        <v>#NAME?</v>
      </c>
      <c r="AW24" s="406"/>
      <c r="AX24" s="406"/>
      <c r="AY24" s="406"/>
      <c r="AZ24" s="406"/>
    </row>
    <row r="25" spans="1:52" s="10" customFormat="1" ht="15.5">
      <c r="A25" s="61" t="s">
        <v>6</v>
      </c>
      <c r="B25" s="98">
        <v>5</v>
      </c>
      <c r="C25" s="102">
        <f t="shared" si="100"/>
        <v>300</v>
      </c>
      <c r="D25" s="96"/>
      <c r="E25" s="71">
        <f t="shared" ref="E25:E34" si="101">G_Lookup($A25,$E$20, E$21,$D25)</f>
        <v>-0.03</v>
      </c>
      <c r="F25" s="19">
        <f t="shared" ref="F25:F29" si="102">Atten_to_Te(E25,$C25)</f>
        <v>2.0795006555412554</v>
      </c>
      <c r="G25" s="68">
        <f t="shared" ref="G25:G34" ca="1" si="103">E25+OFFSET(G25,-1,0)</f>
        <v>-7.0624999999999993E-2</v>
      </c>
      <c r="H25" s="65" t="e">
        <f ca="1">OFFSET(H25,-1,0)+F25*dbToAbs(-1*OFFSET(G25,-1,0))</f>
        <v>#NAME?</v>
      </c>
      <c r="I25" s="71">
        <f t="shared" ref="I25:I30" si="104">G_Lookup($A25,$E$20, I$21,$D25)</f>
        <v>-0.03</v>
      </c>
      <c r="J25" s="19">
        <f t="shared" ref="J25:J30" si="105">Atten_to_Te(I25,$C25)</f>
        <v>2.0795006555412554</v>
      </c>
      <c r="K25" s="68">
        <f t="shared" ref="K25:K34" ca="1" si="106">I25+OFFSET(K25,-1,0)</f>
        <v>-7.2000000000000008E-2</v>
      </c>
      <c r="L25" s="65" t="e">
        <f t="shared" ref="L25:L34" ca="1" si="107">OFFSET(L25,-1,0)+J25*dbToAbs(-1*OFFSET(K25,-1,0))</f>
        <v>#NAME?</v>
      </c>
      <c r="M25" s="71">
        <f t="shared" ref="M25:M30" si="108">G_Lookup($A25,$E$20, M$21,$D25)</f>
        <v>-0.03</v>
      </c>
      <c r="N25" s="19">
        <f t="shared" ref="N25:N30" si="109">Atten_to_Te(M25,$C25)</f>
        <v>2.0795006555412554</v>
      </c>
      <c r="O25" s="68">
        <f t="shared" ref="O25:O34" ca="1" si="110">M25+OFFSET(O25,-1,0)</f>
        <v>-7.3374999999999996E-2</v>
      </c>
      <c r="P25" s="65" t="e">
        <f t="shared" ref="P25:P34" ca="1" si="111">OFFSET(P25,-1,0)+N25*dbToAbs(-1*OFFSET(O25,-1,0))</f>
        <v>#NAME?</v>
      </c>
      <c r="Q25" s="71">
        <f t="shared" ref="Q25:Q30" si="112">G_Lookup($A25,$E$20, Q$21,$D25)</f>
        <v>-0.03</v>
      </c>
      <c r="R25" s="19">
        <f t="shared" ref="R25:R30" si="113">Atten_to_Te(Q25,$C25)</f>
        <v>2.0795006555412554</v>
      </c>
      <c r="S25" s="68">
        <f t="shared" ref="S25:S34" ca="1" si="114">Q25+OFFSET(S25,-1,0)</f>
        <v>-7.4874999999999997E-2</v>
      </c>
      <c r="T25" s="65" t="e">
        <f t="shared" ref="T25:T34" ca="1" si="115">OFFSET(T25,-1,0)+R25*dbToAbs(-1*OFFSET(S25,-1,0))</f>
        <v>#NAME?</v>
      </c>
      <c r="U25" s="71">
        <f t="shared" ref="U25:U30" si="116">G_Lookup($A25,$E$20, U$21,$D25)</f>
        <v>-0.03</v>
      </c>
      <c r="V25" s="19">
        <f t="shared" ref="V25:V30" si="117">Atten_to_Te(U25,$C25)</f>
        <v>2.0795006555412554</v>
      </c>
      <c r="W25" s="68">
        <f t="shared" ref="W25:W34" ca="1" si="118">U25+OFFSET(W25,-1,0)</f>
        <v>-7.6374999999999998E-2</v>
      </c>
      <c r="X25" s="65" t="e">
        <f t="shared" ref="X25:X34" ca="1" si="119">OFFSET(X25,-1,0)+V25*dbToAbs(-1*OFFSET(W25,-1,0))</f>
        <v>#NAME?</v>
      </c>
      <c r="Y25" s="71">
        <f t="shared" ref="Y25:Y30" si="120">G_Lookup($A25,$E$20, Y$21,$D25)</f>
        <v>-0.03</v>
      </c>
      <c r="Z25" s="19">
        <f t="shared" ref="Z25:Z30" si="121">Atten_to_Te(Y25,$C25)</f>
        <v>2.0795006555412554</v>
      </c>
      <c r="AA25" s="68">
        <f t="shared" ref="AA25:AA34" ca="1" si="122">Y25+OFFSET(AA25,-1,0)</f>
        <v>-7.8E-2</v>
      </c>
      <c r="AB25" s="65" t="e">
        <f t="shared" ref="AB25:AB34" ca="1" si="123">OFFSET(AB25,-1,0)+Z25*dbToAbs(-1*OFFSET(AA25,-1,0))</f>
        <v>#NAME?</v>
      </c>
      <c r="AC25" s="71">
        <f t="shared" ref="AC25:AC30" si="124">G_Lookup($A25,$E$20, AC$21,$D25)</f>
        <v>-0.03</v>
      </c>
      <c r="AD25" s="19">
        <f t="shared" ref="AD25:AD30" si="125">Atten_to_Te(AC25,$C25)</f>
        <v>2.0795006555412554</v>
      </c>
      <c r="AE25" s="68">
        <f t="shared" ref="AE25:AE34" ca="1" si="126">AC25+OFFSET(AE25,-1,0)</f>
        <v>-7.9750000000000001E-2</v>
      </c>
      <c r="AF25" s="65" t="e">
        <f t="shared" ref="AF25:AF34" ca="1" si="127">OFFSET(AF25,-1,0)+AD25*dbToAbs(-1*OFFSET(AE25,-1,0))</f>
        <v>#NAME?</v>
      </c>
      <c r="AG25" s="71">
        <f t="shared" ref="AG25:AG30" si="128">G_Lookup($A25,$E$20, AG$21,$D25)</f>
        <v>-0.03</v>
      </c>
      <c r="AH25" s="19">
        <f t="shared" ref="AH25:AH30" si="129">Atten_to_Te(AG25,$C25)</f>
        <v>2.0795006555412554</v>
      </c>
      <c r="AI25" s="68">
        <f t="shared" ref="AI25:AI34" ca="1" si="130">AG25+OFFSET(AI25,-1,0)</f>
        <v>-0.08</v>
      </c>
      <c r="AJ25" s="65" t="e">
        <f t="shared" ref="AJ25:AJ34" ca="1" si="131">OFFSET(AJ25,-1,0)+AH25*dbToAbs(-1*OFFSET(AI25,-1,0))</f>
        <v>#NAME?</v>
      </c>
      <c r="AK25" s="71">
        <f t="shared" ref="AK25:AK30" si="132">G_Lookup($A25,$E$20, AK$21,$D25)</f>
        <v>-0.03</v>
      </c>
      <c r="AL25" s="19">
        <f t="shared" ref="AL25:AL30" si="133">Atten_to_Te(AK25,$C25)</f>
        <v>2.0795006555412554</v>
      </c>
      <c r="AM25" s="68">
        <f t="shared" ref="AM25:AM34" ca="1" si="134">AK25+OFFSET(AM25,-1,0)</f>
        <v>-0.08</v>
      </c>
      <c r="AN25" s="65" t="e">
        <f t="shared" ref="AN25:AN34" ca="1" si="135">OFFSET(AN25,-1,0)+AL25*dbToAbs(-1*OFFSET(AM25,-1,0))</f>
        <v>#NAME?</v>
      </c>
      <c r="AO25" s="71">
        <f t="shared" ref="AO25:AO30" si="136">G_Lookup($A25,$E$20, AO$21,$D25)</f>
        <v>-0.03</v>
      </c>
      <c r="AP25" s="19">
        <f t="shared" ref="AP25:AP30" si="137">Atten_to_Te(AO25,$C25)</f>
        <v>2.0795006555412554</v>
      </c>
      <c r="AQ25" s="68">
        <f t="shared" ref="AQ25:AQ34" ca="1" si="138">AO25+OFFSET(AQ25,-1,0)</f>
        <v>-0.08</v>
      </c>
      <c r="AR25" s="65" t="e">
        <f t="shared" ref="AR25:AR34" ca="1" si="139">OFFSET(AR25,-1,0)+AP25*dbToAbs(-1*OFFSET(AQ25,-1,0))</f>
        <v>#NAME?</v>
      </c>
      <c r="AS25" s="71">
        <f t="shared" ref="AS25:AS30" si="140">G_Lookup($A25,$E$20, AS$21,$D25)</f>
        <v>-0.03</v>
      </c>
      <c r="AT25" s="19">
        <f t="shared" ref="AT25:AT30" si="141">Atten_to_Te(AS25,$C25)</f>
        <v>2.0795006555412554</v>
      </c>
      <c r="AU25" s="68">
        <f t="shared" ref="AU25:AU34" ca="1" si="142">AS25+OFFSET(AU25,-1,0)</f>
        <v>-0.08</v>
      </c>
      <c r="AV25" s="65" t="e">
        <f t="shared" ref="AV25:AV34" ca="1" si="143">OFFSET(AV25,-1,0)+AT25*dbToAbs(-1*OFFSET(AU25,-1,0))</f>
        <v>#NAME?</v>
      </c>
      <c r="AW25" s="406"/>
      <c r="AX25" s="406"/>
      <c r="AY25" s="406"/>
      <c r="AZ25" s="406"/>
    </row>
    <row r="26" spans="1:52" s="10" customFormat="1" ht="15.5">
      <c r="A26" s="61" t="s">
        <v>8</v>
      </c>
      <c r="B26" s="98">
        <v>4</v>
      </c>
      <c r="C26" s="102">
        <f t="shared" si="100"/>
        <v>190</v>
      </c>
      <c r="D26" s="96"/>
      <c r="E26" s="71">
        <f t="shared" si="101"/>
        <v>-0.03</v>
      </c>
      <c r="F26" s="19">
        <f t="shared" si="102"/>
        <v>1.3170170818427951</v>
      </c>
      <c r="G26" s="68">
        <f t="shared" ca="1" si="103"/>
        <v>-0.10062499999999999</v>
      </c>
      <c r="H26" s="65" t="e">
        <f t="shared" ref="H26:H34" ca="1" si="144">OFFSET(H26,-1,0)+F26*dbToAbs(-1*OFFSET(G26,-1,0))</f>
        <v>#NAME?</v>
      </c>
      <c r="I26" s="71">
        <f t="shared" si="104"/>
        <v>-0.03</v>
      </c>
      <c r="J26" s="19">
        <f t="shared" si="105"/>
        <v>1.3170170818427951</v>
      </c>
      <c r="K26" s="68">
        <f t="shared" ca="1" si="106"/>
        <v>-0.10200000000000001</v>
      </c>
      <c r="L26" s="65" t="e">
        <f t="shared" ca="1" si="107"/>
        <v>#NAME?</v>
      </c>
      <c r="M26" s="71">
        <f t="shared" si="108"/>
        <v>-0.03</v>
      </c>
      <c r="N26" s="19">
        <f t="shared" si="109"/>
        <v>1.3170170818427951</v>
      </c>
      <c r="O26" s="68">
        <f t="shared" ca="1" si="110"/>
        <v>-0.10337499999999999</v>
      </c>
      <c r="P26" s="65" t="e">
        <f t="shared" ca="1" si="111"/>
        <v>#NAME?</v>
      </c>
      <c r="Q26" s="71">
        <f t="shared" si="112"/>
        <v>-0.03</v>
      </c>
      <c r="R26" s="19">
        <f t="shared" si="113"/>
        <v>1.3170170818427951</v>
      </c>
      <c r="S26" s="68">
        <f t="shared" ca="1" si="114"/>
        <v>-0.104875</v>
      </c>
      <c r="T26" s="65" t="e">
        <f t="shared" ca="1" si="115"/>
        <v>#NAME?</v>
      </c>
      <c r="U26" s="71">
        <f t="shared" si="116"/>
        <v>-0.03</v>
      </c>
      <c r="V26" s="19">
        <f t="shared" si="117"/>
        <v>1.3170170818427951</v>
      </c>
      <c r="W26" s="68">
        <f t="shared" ca="1" si="118"/>
        <v>-0.106375</v>
      </c>
      <c r="X26" s="65" t="e">
        <f t="shared" ca="1" si="119"/>
        <v>#NAME?</v>
      </c>
      <c r="Y26" s="71">
        <f t="shared" si="120"/>
        <v>-0.03</v>
      </c>
      <c r="Z26" s="19">
        <f t="shared" si="121"/>
        <v>1.3170170818427951</v>
      </c>
      <c r="AA26" s="68">
        <f t="shared" ca="1" si="122"/>
        <v>-0.108</v>
      </c>
      <c r="AB26" s="65" t="e">
        <f t="shared" ca="1" si="123"/>
        <v>#NAME?</v>
      </c>
      <c r="AC26" s="71">
        <f t="shared" si="124"/>
        <v>-0.03</v>
      </c>
      <c r="AD26" s="19">
        <f t="shared" si="125"/>
        <v>1.3170170818427951</v>
      </c>
      <c r="AE26" s="68">
        <f t="shared" ca="1" si="126"/>
        <v>-0.10975</v>
      </c>
      <c r="AF26" s="65" t="e">
        <f t="shared" ca="1" si="127"/>
        <v>#NAME?</v>
      </c>
      <c r="AG26" s="71">
        <f t="shared" si="128"/>
        <v>-0.03</v>
      </c>
      <c r="AH26" s="19">
        <f t="shared" si="129"/>
        <v>1.3170170818427951</v>
      </c>
      <c r="AI26" s="68">
        <f t="shared" ca="1" si="130"/>
        <v>-0.11</v>
      </c>
      <c r="AJ26" s="65" t="e">
        <f t="shared" ca="1" si="131"/>
        <v>#NAME?</v>
      </c>
      <c r="AK26" s="71">
        <f t="shared" si="132"/>
        <v>-0.03</v>
      </c>
      <c r="AL26" s="19">
        <f t="shared" si="133"/>
        <v>1.3170170818427951</v>
      </c>
      <c r="AM26" s="68">
        <f t="shared" ca="1" si="134"/>
        <v>-0.11</v>
      </c>
      <c r="AN26" s="65" t="e">
        <f t="shared" ca="1" si="135"/>
        <v>#NAME?</v>
      </c>
      <c r="AO26" s="71">
        <f t="shared" si="136"/>
        <v>-0.03</v>
      </c>
      <c r="AP26" s="19">
        <f t="shared" si="137"/>
        <v>1.3170170818427951</v>
      </c>
      <c r="AQ26" s="68">
        <f t="shared" ca="1" si="138"/>
        <v>-0.11</v>
      </c>
      <c r="AR26" s="65" t="e">
        <f t="shared" ca="1" si="139"/>
        <v>#NAME?</v>
      </c>
      <c r="AS26" s="71">
        <f t="shared" si="140"/>
        <v>-0.03</v>
      </c>
      <c r="AT26" s="19">
        <f t="shared" si="141"/>
        <v>1.3170170818427951</v>
      </c>
      <c r="AU26" s="68">
        <f t="shared" ca="1" si="142"/>
        <v>-0.11</v>
      </c>
      <c r="AV26" s="65" t="e">
        <f t="shared" ca="1" si="143"/>
        <v>#NAME?</v>
      </c>
      <c r="AW26" s="406"/>
      <c r="AX26" s="406"/>
      <c r="AY26" s="406"/>
      <c r="AZ26" s="406"/>
    </row>
    <row r="27" spans="1:52" s="10" customFormat="1" ht="15.5">
      <c r="A27" s="61" t="s">
        <v>9</v>
      </c>
      <c r="B27" s="98">
        <v>1</v>
      </c>
      <c r="C27" s="102">
        <f t="shared" si="100"/>
        <v>20</v>
      </c>
      <c r="D27" s="96"/>
      <c r="E27" s="71">
        <f t="shared" si="101"/>
        <v>-0.05</v>
      </c>
      <c r="F27" s="19">
        <f t="shared" si="102"/>
        <v>0.23158908519797183</v>
      </c>
      <c r="G27" s="68">
        <f t="shared" ca="1" si="103"/>
        <v>-0.15062500000000001</v>
      </c>
      <c r="H27" s="65" t="e">
        <f t="shared" ca="1" si="144"/>
        <v>#NAME?</v>
      </c>
      <c r="I27" s="71">
        <f t="shared" si="104"/>
        <v>-0.05</v>
      </c>
      <c r="J27" s="19">
        <f t="shared" si="105"/>
        <v>0.23158908519797183</v>
      </c>
      <c r="K27" s="68">
        <f t="shared" ca="1" si="106"/>
        <v>-0.15200000000000002</v>
      </c>
      <c r="L27" s="65" t="e">
        <f t="shared" ca="1" si="107"/>
        <v>#NAME?</v>
      </c>
      <c r="M27" s="71">
        <f t="shared" si="108"/>
        <v>-0.05</v>
      </c>
      <c r="N27" s="19">
        <f t="shared" si="109"/>
        <v>0.23158908519797183</v>
      </c>
      <c r="O27" s="68">
        <f t="shared" ca="1" si="110"/>
        <v>-0.15337499999999998</v>
      </c>
      <c r="P27" s="65" t="e">
        <f t="shared" ca="1" si="111"/>
        <v>#NAME?</v>
      </c>
      <c r="Q27" s="71">
        <f t="shared" si="112"/>
        <v>-0.05</v>
      </c>
      <c r="R27" s="19">
        <f t="shared" si="113"/>
        <v>0.23158908519797183</v>
      </c>
      <c r="S27" s="68">
        <f t="shared" ca="1" si="114"/>
        <v>-0.15487499999999998</v>
      </c>
      <c r="T27" s="65" t="e">
        <f t="shared" ca="1" si="115"/>
        <v>#NAME?</v>
      </c>
      <c r="U27" s="71">
        <f t="shared" si="116"/>
        <v>-0.05</v>
      </c>
      <c r="V27" s="19">
        <f t="shared" si="117"/>
        <v>0.23158908519797183</v>
      </c>
      <c r="W27" s="68">
        <f t="shared" ca="1" si="118"/>
        <v>-0.15637499999999999</v>
      </c>
      <c r="X27" s="65" t="e">
        <f t="shared" ca="1" si="119"/>
        <v>#NAME?</v>
      </c>
      <c r="Y27" s="71">
        <f t="shared" si="120"/>
        <v>-0.05</v>
      </c>
      <c r="Z27" s="19">
        <f t="shared" si="121"/>
        <v>0.23158908519797183</v>
      </c>
      <c r="AA27" s="68">
        <f t="shared" ca="1" si="122"/>
        <v>-0.158</v>
      </c>
      <c r="AB27" s="65" t="e">
        <f t="shared" ca="1" si="123"/>
        <v>#NAME?</v>
      </c>
      <c r="AC27" s="71">
        <f t="shared" si="124"/>
        <v>-0.05</v>
      </c>
      <c r="AD27" s="19">
        <f t="shared" si="125"/>
        <v>0.23158908519797183</v>
      </c>
      <c r="AE27" s="68">
        <f t="shared" ca="1" si="126"/>
        <v>-0.15975</v>
      </c>
      <c r="AF27" s="65" t="e">
        <f t="shared" ca="1" si="127"/>
        <v>#NAME?</v>
      </c>
      <c r="AG27" s="71">
        <f t="shared" si="128"/>
        <v>-0.05</v>
      </c>
      <c r="AH27" s="19">
        <f t="shared" si="129"/>
        <v>0.23158908519797183</v>
      </c>
      <c r="AI27" s="68">
        <f t="shared" ca="1" si="130"/>
        <v>-0.16</v>
      </c>
      <c r="AJ27" s="65" t="e">
        <f t="shared" ca="1" si="131"/>
        <v>#NAME?</v>
      </c>
      <c r="AK27" s="71">
        <f t="shared" si="132"/>
        <v>-0.05</v>
      </c>
      <c r="AL27" s="19">
        <f t="shared" si="133"/>
        <v>0.23158908519797183</v>
      </c>
      <c r="AM27" s="68">
        <f t="shared" ca="1" si="134"/>
        <v>-0.16</v>
      </c>
      <c r="AN27" s="65" t="e">
        <f t="shared" ca="1" si="135"/>
        <v>#NAME?</v>
      </c>
      <c r="AO27" s="71">
        <f t="shared" si="136"/>
        <v>-0.05</v>
      </c>
      <c r="AP27" s="19">
        <f t="shared" si="137"/>
        <v>0.23158908519797183</v>
      </c>
      <c r="AQ27" s="68">
        <f t="shared" ca="1" si="138"/>
        <v>-0.16</v>
      </c>
      <c r="AR27" s="65" t="e">
        <f t="shared" ca="1" si="139"/>
        <v>#NAME?</v>
      </c>
      <c r="AS27" s="71">
        <f t="shared" si="140"/>
        <v>-0.05</v>
      </c>
      <c r="AT27" s="19">
        <f t="shared" si="141"/>
        <v>0.23158908519797183</v>
      </c>
      <c r="AU27" s="68">
        <f t="shared" ca="1" si="142"/>
        <v>-0.16</v>
      </c>
      <c r="AV27" s="65" t="e">
        <f t="shared" ca="1" si="143"/>
        <v>#NAME?</v>
      </c>
      <c r="AW27" s="406"/>
      <c r="AX27" s="406"/>
      <c r="AY27" s="406"/>
      <c r="AZ27" s="406"/>
    </row>
    <row r="28" spans="1:52" s="76" customFormat="1" ht="15.5">
      <c r="A28" s="73" t="s">
        <v>107</v>
      </c>
      <c r="B28" s="98">
        <v>1</v>
      </c>
      <c r="C28" s="102">
        <f t="shared" si="100"/>
        <v>20</v>
      </c>
      <c r="D28" s="103"/>
      <c r="E28" s="71">
        <f t="shared" si="101"/>
        <v>-0.13006964899049131</v>
      </c>
      <c r="F28" s="19">
        <f t="shared" si="102"/>
        <v>0.60805290314693394</v>
      </c>
      <c r="G28" s="74">
        <f t="shared" ca="1" si="103"/>
        <v>-0.28069464899049135</v>
      </c>
      <c r="H28" s="75" t="e">
        <f t="shared" ca="1" si="144"/>
        <v>#NAME?</v>
      </c>
      <c r="I28" s="71">
        <f t="shared" si="104"/>
        <v>-0.11498302620106619</v>
      </c>
      <c r="J28" s="19">
        <f t="shared" si="105"/>
        <v>0.53658836879068694</v>
      </c>
      <c r="K28" s="74">
        <f t="shared" ca="1" si="106"/>
        <v>-0.26698302620106623</v>
      </c>
      <c r="L28" s="75" t="e">
        <f t="shared" ca="1" si="107"/>
        <v>#NAME?</v>
      </c>
      <c r="M28" s="71">
        <f t="shared" si="108"/>
        <v>-0.10461351387600473</v>
      </c>
      <c r="N28" s="19">
        <f t="shared" si="109"/>
        <v>0.48761229724718191</v>
      </c>
      <c r="O28" s="74">
        <f t="shared" ca="1" si="110"/>
        <v>-0.25798851387600474</v>
      </c>
      <c r="P28" s="75" t="e">
        <f t="shared" ca="1" si="111"/>
        <v>#NAME?</v>
      </c>
      <c r="Q28" s="71">
        <f t="shared" si="112"/>
        <v>-9.6826352638441637E-2</v>
      </c>
      <c r="R28" s="19">
        <f t="shared" si="113"/>
        <v>0.45090969113279922</v>
      </c>
      <c r="S28" s="74">
        <f t="shared" ca="1" si="114"/>
        <v>-0.25170135263844162</v>
      </c>
      <c r="T28" s="75" t="e">
        <f t="shared" ca="1" si="115"/>
        <v>#NAME?</v>
      </c>
      <c r="U28" s="71">
        <f t="shared" si="116"/>
        <v>-9.1364354272105708E-2</v>
      </c>
      <c r="V28" s="19">
        <f t="shared" si="117"/>
        <v>0.42520532999744454</v>
      </c>
      <c r="W28" s="74">
        <f t="shared" ca="1" si="118"/>
        <v>-0.24773935427210569</v>
      </c>
      <c r="X28" s="75" t="e">
        <f t="shared" ca="1" si="119"/>
        <v>#NAME?</v>
      </c>
      <c r="Y28" s="71">
        <f t="shared" si="120"/>
        <v>-8.7081467281039215E-2</v>
      </c>
      <c r="Z28" s="19">
        <f t="shared" si="121"/>
        <v>0.40507251011169476</v>
      </c>
      <c r="AA28" s="74">
        <f t="shared" ca="1" si="122"/>
        <v>-0.24508146728103922</v>
      </c>
      <c r="AB28" s="75" t="e">
        <f t="shared" ca="1" si="123"/>
        <v>#NAME?</v>
      </c>
      <c r="AC28" s="71">
        <f t="shared" si="124"/>
        <v>-8.3611358925000795E-2</v>
      </c>
      <c r="AD28" s="19">
        <f t="shared" si="125"/>
        <v>0.38877492066354602</v>
      </c>
      <c r="AE28" s="74">
        <f t="shared" ca="1" si="126"/>
        <v>-0.2433613589250008</v>
      </c>
      <c r="AF28" s="75" t="e">
        <f t="shared" ca="1" si="127"/>
        <v>#NAME?</v>
      </c>
      <c r="AG28" s="71">
        <f t="shared" si="128"/>
        <v>-8.1044781732801802E-2</v>
      </c>
      <c r="AH28" s="19">
        <f t="shared" si="129"/>
        <v>0.37672919887610234</v>
      </c>
      <c r="AI28" s="74">
        <f t="shared" ca="1" si="130"/>
        <v>-0.2410447817328018</v>
      </c>
      <c r="AJ28" s="75" t="e">
        <f t="shared" ca="1" si="131"/>
        <v>#NAME?</v>
      </c>
      <c r="AK28" s="71">
        <f t="shared" si="132"/>
        <v>-7.900448343208831E-2</v>
      </c>
      <c r="AL28" s="19">
        <f t="shared" si="133"/>
        <v>0.36715854038815277</v>
      </c>
      <c r="AM28" s="74">
        <f t="shared" ca="1" si="134"/>
        <v>-0.2390044834320883</v>
      </c>
      <c r="AN28" s="75" t="e">
        <f t="shared" ca="1" si="135"/>
        <v>#NAME?</v>
      </c>
      <c r="AO28" s="71">
        <f t="shared" si="136"/>
        <v>-7.7317065089031994E-2</v>
      </c>
      <c r="AP28" s="19">
        <f t="shared" si="137"/>
        <v>0.35924657223833201</v>
      </c>
      <c r="AQ28" s="74">
        <f t="shared" ca="1" si="138"/>
        <v>-0.237317065089032</v>
      </c>
      <c r="AR28" s="75" t="e">
        <f t="shared" ca="1" si="139"/>
        <v>#NAME?</v>
      </c>
      <c r="AS28" s="71">
        <f t="shared" si="140"/>
        <v>-7.616581880026746E-2</v>
      </c>
      <c r="AT28" s="19">
        <f t="shared" si="141"/>
        <v>0.35385037179836321</v>
      </c>
      <c r="AU28" s="74">
        <f t="shared" ca="1" si="142"/>
        <v>-0.23616581880026746</v>
      </c>
      <c r="AV28" s="75" t="e">
        <f t="shared" ca="1" si="143"/>
        <v>#NAME?</v>
      </c>
      <c r="AW28" s="406"/>
      <c r="AX28" s="406"/>
      <c r="AY28" s="406"/>
      <c r="AZ28" s="406"/>
    </row>
    <row r="29" spans="1:52" s="10" customFormat="1" ht="15.5">
      <c r="A29" s="61" t="s">
        <v>291</v>
      </c>
      <c r="B29" s="98">
        <v>1</v>
      </c>
      <c r="C29" s="102">
        <f t="shared" si="100"/>
        <v>20</v>
      </c>
      <c r="D29" s="96"/>
      <c r="E29" s="71">
        <f t="shared" si="101"/>
        <v>-0.03</v>
      </c>
      <c r="F29" s="19">
        <f t="shared" si="102"/>
        <v>0.13863337703608369</v>
      </c>
      <c r="G29" s="68">
        <f t="shared" ca="1" si="103"/>
        <v>-0.31069464899049137</v>
      </c>
      <c r="H29" s="65" t="e">
        <f t="shared" ca="1" si="144"/>
        <v>#NAME?</v>
      </c>
      <c r="I29" s="71">
        <f t="shared" si="104"/>
        <v>-0.03</v>
      </c>
      <c r="J29" s="19">
        <f t="shared" si="105"/>
        <v>0.13863337703608369</v>
      </c>
      <c r="K29" s="68">
        <f t="shared" ca="1" si="106"/>
        <v>-0.2969830262010662</v>
      </c>
      <c r="L29" s="65" t="e">
        <f t="shared" ca="1" si="107"/>
        <v>#NAME?</v>
      </c>
      <c r="M29" s="71">
        <f t="shared" si="108"/>
        <v>-0.03</v>
      </c>
      <c r="N29" s="19">
        <f t="shared" si="109"/>
        <v>0.13863337703608369</v>
      </c>
      <c r="O29" s="68">
        <f t="shared" ca="1" si="110"/>
        <v>-0.28798851387600477</v>
      </c>
      <c r="P29" s="65" t="e">
        <f t="shared" ca="1" si="111"/>
        <v>#NAME?</v>
      </c>
      <c r="Q29" s="71">
        <f t="shared" si="112"/>
        <v>-0.03</v>
      </c>
      <c r="R29" s="19">
        <f t="shared" si="113"/>
        <v>0.13863337703608369</v>
      </c>
      <c r="S29" s="68">
        <f t="shared" ca="1" si="114"/>
        <v>-0.28170135263844165</v>
      </c>
      <c r="T29" s="65" t="e">
        <f t="shared" ca="1" si="115"/>
        <v>#NAME?</v>
      </c>
      <c r="U29" s="71">
        <f t="shared" si="116"/>
        <v>-0.03</v>
      </c>
      <c r="V29" s="19">
        <f t="shared" si="117"/>
        <v>0.13863337703608369</v>
      </c>
      <c r="W29" s="68">
        <f t="shared" ca="1" si="118"/>
        <v>-0.27773935427210572</v>
      </c>
      <c r="X29" s="65" t="e">
        <f t="shared" ca="1" si="119"/>
        <v>#NAME?</v>
      </c>
      <c r="Y29" s="71">
        <f t="shared" si="120"/>
        <v>-0.03</v>
      </c>
      <c r="Z29" s="19">
        <f t="shared" si="121"/>
        <v>0.13863337703608369</v>
      </c>
      <c r="AA29" s="68">
        <f t="shared" ca="1" si="122"/>
        <v>-0.27508146728103922</v>
      </c>
      <c r="AB29" s="65" t="e">
        <f t="shared" ca="1" si="123"/>
        <v>#NAME?</v>
      </c>
      <c r="AC29" s="71">
        <f t="shared" si="124"/>
        <v>-0.03</v>
      </c>
      <c r="AD29" s="19">
        <f t="shared" si="125"/>
        <v>0.13863337703608369</v>
      </c>
      <c r="AE29" s="68">
        <f t="shared" ca="1" si="126"/>
        <v>-0.2733613589250008</v>
      </c>
      <c r="AF29" s="65" t="e">
        <f t="shared" ca="1" si="127"/>
        <v>#NAME?</v>
      </c>
      <c r="AG29" s="71">
        <f t="shared" si="128"/>
        <v>-0.03</v>
      </c>
      <c r="AH29" s="19">
        <f t="shared" si="129"/>
        <v>0.13863337703608369</v>
      </c>
      <c r="AI29" s="68">
        <f t="shared" ca="1" si="130"/>
        <v>-0.27104478173280178</v>
      </c>
      <c r="AJ29" s="65" t="e">
        <f t="shared" ca="1" si="131"/>
        <v>#NAME?</v>
      </c>
      <c r="AK29" s="71">
        <f t="shared" si="132"/>
        <v>-0.03</v>
      </c>
      <c r="AL29" s="19">
        <f t="shared" si="133"/>
        <v>0.13863337703608369</v>
      </c>
      <c r="AM29" s="68">
        <f t="shared" ca="1" si="134"/>
        <v>-0.26900448343208827</v>
      </c>
      <c r="AN29" s="65" t="e">
        <f t="shared" ca="1" si="135"/>
        <v>#NAME?</v>
      </c>
      <c r="AO29" s="71">
        <f t="shared" si="136"/>
        <v>-0.03</v>
      </c>
      <c r="AP29" s="19">
        <f t="shared" si="137"/>
        <v>0.13863337703608369</v>
      </c>
      <c r="AQ29" s="68">
        <f t="shared" ca="1" si="138"/>
        <v>-0.26731706508903197</v>
      </c>
      <c r="AR29" s="65" t="e">
        <f t="shared" ca="1" si="139"/>
        <v>#NAME?</v>
      </c>
      <c r="AS29" s="71">
        <f t="shared" si="140"/>
        <v>-0.03</v>
      </c>
      <c r="AT29" s="19">
        <f t="shared" si="141"/>
        <v>0.13863337703608369</v>
      </c>
      <c r="AU29" s="68">
        <f t="shared" ca="1" si="142"/>
        <v>-0.26616581880026746</v>
      </c>
      <c r="AV29" s="65" t="e">
        <f t="shared" ca="1" si="143"/>
        <v>#NAME?</v>
      </c>
      <c r="AW29" s="406"/>
      <c r="AX29" s="406"/>
      <c r="AY29" s="406"/>
      <c r="AZ29" s="406"/>
    </row>
    <row r="30" spans="1:52" s="10" customFormat="1" ht="15.5">
      <c r="A30" s="61" t="s">
        <v>79</v>
      </c>
      <c r="B30" s="98">
        <v>1</v>
      </c>
      <c r="C30" s="102">
        <f t="shared" si="100"/>
        <v>20</v>
      </c>
      <c r="D30" s="96">
        <v>0.1</v>
      </c>
      <c r="E30" s="71">
        <f t="shared" si="101"/>
        <v>-7.6511558229700752E-2</v>
      </c>
      <c r="F30" s="19">
        <f t="shared" ref="F30" si="145">Atten_to_Te(E30,$C30)</f>
        <v>0.35547079504248291</v>
      </c>
      <c r="G30" s="74">
        <f t="shared" ca="1" si="103"/>
        <v>-0.38720620722019211</v>
      </c>
      <c r="H30" s="75" t="e">
        <f t="shared" ca="1" si="144"/>
        <v>#NAME?</v>
      </c>
      <c r="I30" s="71">
        <f t="shared" si="104"/>
        <v>-6.7637074235921274E-2</v>
      </c>
      <c r="J30" s="19">
        <f t="shared" si="105"/>
        <v>0.31391837696035818</v>
      </c>
      <c r="K30" s="74">
        <f t="shared" ca="1" si="106"/>
        <v>-0.36462010043698745</v>
      </c>
      <c r="L30" s="75" t="e">
        <f t="shared" ca="1" si="107"/>
        <v>#NAME?</v>
      </c>
      <c r="M30" s="71">
        <f t="shared" si="108"/>
        <v>-6.1537361103532189E-2</v>
      </c>
      <c r="N30" s="19">
        <f t="shared" si="109"/>
        <v>0.28540728488859024</v>
      </c>
      <c r="O30" s="74">
        <f t="shared" ca="1" si="110"/>
        <v>-0.34952587497953697</v>
      </c>
      <c r="P30" s="75" t="e">
        <f t="shared" ca="1" si="111"/>
        <v>#NAME?</v>
      </c>
      <c r="Q30" s="71">
        <f t="shared" si="112"/>
        <v>-5.6956678022612707E-2</v>
      </c>
      <c r="R30" s="19">
        <f t="shared" si="113"/>
        <v>0.26402270847424081</v>
      </c>
      <c r="S30" s="74">
        <f t="shared" ca="1" si="114"/>
        <v>-0.33865803066105438</v>
      </c>
      <c r="T30" s="75" t="e">
        <f t="shared" ca="1" si="115"/>
        <v>#NAME?</v>
      </c>
      <c r="U30" s="71">
        <f t="shared" si="116"/>
        <v>-5.3743737807120995E-2</v>
      </c>
      <c r="V30" s="19">
        <f t="shared" si="117"/>
        <v>0.24903679020874758</v>
      </c>
      <c r="W30" s="74">
        <f t="shared" ca="1" si="118"/>
        <v>-0.33148309207922672</v>
      </c>
      <c r="X30" s="75" t="e">
        <f t="shared" ca="1" si="119"/>
        <v>#NAME?</v>
      </c>
      <c r="Y30" s="71">
        <f t="shared" si="120"/>
        <v>-5.122439251825836E-2</v>
      </c>
      <c r="Z30" s="19">
        <f t="shared" si="121"/>
        <v>0.2372937163942046</v>
      </c>
      <c r="AA30" s="74">
        <f t="shared" ca="1" si="122"/>
        <v>-0.3263058597992976</v>
      </c>
      <c r="AB30" s="75" t="e">
        <f t="shared" ca="1" si="123"/>
        <v>#NAME?</v>
      </c>
      <c r="AC30" s="71">
        <f t="shared" si="124"/>
        <v>-4.9183152308823995E-2</v>
      </c>
      <c r="AD30" s="19">
        <f t="shared" si="125"/>
        <v>0.2277841617067855</v>
      </c>
      <c r="AE30" s="74">
        <f t="shared" ca="1" si="126"/>
        <v>-0.32254451123382477</v>
      </c>
      <c r="AF30" s="75" t="e">
        <f t="shared" ca="1" si="127"/>
        <v>#NAME?</v>
      </c>
      <c r="AG30" s="71">
        <f t="shared" si="128"/>
        <v>-4.7673401019295167E-2</v>
      </c>
      <c r="AH30" s="19">
        <f t="shared" si="129"/>
        <v>0.22075353687966537</v>
      </c>
      <c r="AI30" s="74">
        <f t="shared" ca="1" si="130"/>
        <v>-0.31871818275209696</v>
      </c>
      <c r="AJ30" s="75" t="e">
        <f t="shared" ca="1" si="131"/>
        <v>#NAME?</v>
      </c>
      <c r="AK30" s="71">
        <f t="shared" si="132"/>
        <v>-4.6473225548287228E-2</v>
      </c>
      <c r="AL30" s="19">
        <f t="shared" si="133"/>
        <v>0.21516629126191678</v>
      </c>
      <c r="AM30" s="74">
        <f t="shared" ca="1" si="134"/>
        <v>-0.31547770898037553</v>
      </c>
      <c r="AN30" s="75" t="e">
        <f t="shared" ca="1" si="135"/>
        <v>#NAME?</v>
      </c>
      <c r="AO30" s="71">
        <f t="shared" si="136"/>
        <v>-4.5480626522959991E-2</v>
      </c>
      <c r="AP30" s="19">
        <f t="shared" si="137"/>
        <v>0.21054655457790172</v>
      </c>
      <c r="AQ30" s="74">
        <f t="shared" ca="1" si="138"/>
        <v>-0.31279769161199195</v>
      </c>
      <c r="AR30" s="75" t="e">
        <f t="shared" ca="1" si="139"/>
        <v>#NAME?</v>
      </c>
      <c r="AS30" s="71">
        <f t="shared" si="140"/>
        <v>-4.4803422823686739E-2</v>
      </c>
      <c r="AT30" s="19">
        <f t="shared" si="141"/>
        <v>0.2073953310594101</v>
      </c>
      <c r="AU30" s="74">
        <f t="shared" ca="1" si="142"/>
        <v>-0.31096924162395423</v>
      </c>
      <c r="AV30" s="75" t="e">
        <f t="shared" ca="1" si="143"/>
        <v>#NAME?</v>
      </c>
      <c r="AW30" s="406"/>
      <c r="AX30" s="406"/>
      <c r="AY30" s="406"/>
      <c r="AZ30" s="406"/>
    </row>
    <row r="31" spans="1:52" s="17" customFormat="1" ht="15.5">
      <c r="A31" s="63" t="s">
        <v>167</v>
      </c>
      <c r="B31" s="98">
        <v>4</v>
      </c>
      <c r="C31" s="102">
        <f t="shared" si="100"/>
        <v>190</v>
      </c>
      <c r="D31" s="97"/>
      <c r="E31" s="114">
        <f>G_Lookup($A31,$E$20, E$21,$D31)</f>
        <v>0</v>
      </c>
      <c r="F31" s="115">
        <f>T_LNA($A31, E$21,$C31)</f>
        <v>0.10933358809405987</v>
      </c>
      <c r="G31" s="68">
        <f t="shared" ref="G31" ca="1" si="146">E31+OFFSET(G31,-1,0)</f>
        <v>-0.38720620722019211</v>
      </c>
      <c r="H31" s="65" t="e">
        <f t="shared" ref="H31" ca="1" si="147">OFFSET(H31,-1,0)+F31*dbToAbs(-1*OFFSET(G31,-1,0))</f>
        <v>#NAME?</v>
      </c>
      <c r="I31" s="114">
        <f>G_Lookup($A31,$E$20, I$21,$D31)</f>
        <v>0</v>
      </c>
      <c r="J31" s="115">
        <f>T_LNA($A31, I$21,$C31)</f>
        <v>0.14084894584717436</v>
      </c>
      <c r="K31" s="68">
        <f t="shared" ca="1" si="106"/>
        <v>-0.36462010043698745</v>
      </c>
      <c r="L31" s="65" t="e">
        <f t="shared" ca="1" si="107"/>
        <v>#NAME?</v>
      </c>
      <c r="M31" s="114">
        <f>G_Lookup($A31,$E$20, M$21,$D31)</f>
        <v>0</v>
      </c>
      <c r="N31" s="115">
        <f>T_LNA($A31, M$21,$C31)</f>
        <v>0.16933767824541174</v>
      </c>
      <c r="O31" s="68">
        <f t="shared" ref="O31" ca="1" si="148">M31+OFFSET(O31,-1,0)</f>
        <v>-0.34952587497953697</v>
      </c>
      <c r="P31" s="65" t="e">
        <f t="shared" ref="P31" ca="1" si="149">OFFSET(P31,-1,0)+N31*dbToAbs(-1*OFFSET(O31,-1,0))</f>
        <v>#NAME?</v>
      </c>
      <c r="Q31" s="114">
        <f>G_Lookup($A31,$E$20, Q$21,$D31)</f>
        <v>0</v>
      </c>
      <c r="R31" s="115">
        <f>T_LNA($A31, Q$21,$C31)</f>
        <v>0.19442566853334337</v>
      </c>
      <c r="S31" s="68">
        <f t="shared" ref="S31" ca="1" si="150">Q31+OFFSET(S31,-1,0)</f>
        <v>-0.33865803066105438</v>
      </c>
      <c r="T31" s="65" t="e">
        <f t="shared" ref="T31" ca="1" si="151">OFFSET(T31,-1,0)+R31*dbToAbs(-1*OFFSET(S31,-1,0))</f>
        <v>#NAME?</v>
      </c>
      <c r="U31" s="114">
        <f>G_Lookup($A31,$E$20, U$21,$D31)</f>
        <v>0</v>
      </c>
      <c r="V31" s="115">
        <f>T_LNA($A31, U$21,$C31)</f>
        <v>0.20833085726720518</v>
      </c>
      <c r="W31" s="68">
        <f t="shared" ref="W31" ca="1" si="152">U31+OFFSET(W31,-1,0)</f>
        <v>-0.33148309207922672</v>
      </c>
      <c r="X31" s="65" t="e">
        <f t="shared" ref="X31" ca="1" si="153">OFFSET(X31,-1,0)+V31*dbToAbs(-1*OFFSET(W31,-1,0))</f>
        <v>#NAME?</v>
      </c>
      <c r="Y31" s="114">
        <f>G_Lookup($A31,$E$20, Y$21,$D31)</f>
        <v>0</v>
      </c>
      <c r="Z31" s="115">
        <f>T_LNA($A31, Y$21,$C31)</f>
        <v>0.21814918808440775</v>
      </c>
      <c r="AA31" s="68">
        <f t="shared" ref="AA31" ca="1" si="154">Y31+OFFSET(AA31,-1,0)</f>
        <v>-0.3263058597992976</v>
      </c>
      <c r="AB31" s="65" t="e">
        <f t="shared" ref="AB31" ca="1" si="155">OFFSET(AB31,-1,0)+Z31*dbToAbs(-1*OFFSET(AA31,-1,0))</f>
        <v>#NAME?</v>
      </c>
      <c r="AC31" s="114">
        <f>G_Lookup($A31,$E$20, AC$21,$D31)</f>
        <v>0</v>
      </c>
      <c r="AD31" s="115">
        <f>T_LNA($A31, AC$21,$C31)</f>
        <v>0.22323053543851051</v>
      </c>
      <c r="AE31" s="68">
        <f t="shared" ref="AE31" ca="1" si="156">AC31+OFFSET(AE31,-1,0)</f>
        <v>-0.32254451123382477</v>
      </c>
      <c r="AF31" s="65" t="e">
        <f t="shared" ref="AF31" ca="1" si="157">OFFSET(AF31,-1,0)+AD31*dbToAbs(-1*OFFSET(AE31,-1,0))</f>
        <v>#NAME?</v>
      </c>
      <c r="AG31" s="114">
        <f>G_Lookup($A31,$E$20, AG$21,$D31)</f>
        <v>0</v>
      </c>
      <c r="AH31" s="115">
        <f>T_LNA($A31, AG$21,$C31)</f>
        <v>0.21814918808440775</v>
      </c>
      <c r="AI31" s="68">
        <f t="shared" ref="AI31" ca="1" si="158">AG31+OFFSET(AI31,-1,0)</f>
        <v>-0.31871818275209696</v>
      </c>
      <c r="AJ31" s="65" t="e">
        <f t="shared" ref="AJ31" ca="1" si="159">OFFSET(AJ31,-1,0)+AH31*dbToAbs(-1*OFFSET(AI31,-1,0))</f>
        <v>#NAME?</v>
      </c>
      <c r="AK31" s="114">
        <f>G_Lookup($A31,$E$20, AK$21,$D31)</f>
        <v>0</v>
      </c>
      <c r="AL31" s="115">
        <f>T_LNA($A31, AK$21,$C31)</f>
        <v>0.20358866799514533</v>
      </c>
      <c r="AM31" s="68">
        <f t="shared" ref="AM31" ca="1" si="160">AK31+OFFSET(AM31,-1,0)</f>
        <v>-0.31547770898037553</v>
      </c>
      <c r="AN31" s="65" t="e">
        <f t="shared" ref="AN31" ca="1" si="161">OFFSET(AN31,-1,0)+AL31*dbToAbs(-1*OFFSET(AM31,-1,0))</f>
        <v>#NAME?</v>
      </c>
      <c r="AO31" s="114">
        <f>G_Lookup($A31,$E$20, AO$21,$D31)</f>
        <v>0</v>
      </c>
      <c r="AP31" s="115">
        <f>T_LNA($A31, AO$21,$C31)</f>
        <v>0.18144859134407282</v>
      </c>
      <c r="AQ31" s="68">
        <f t="shared" ref="AQ31" ca="1" si="162">AO31+OFFSET(AQ31,-1,0)</f>
        <v>-0.31279769161199195</v>
      </c>
      <c r="AR31" s="65" t="e">
        <f t="shared" ref="AR31" ca="1" si="163">OFFSET(AR31,-1,0)+AP31*dbToAbs(-1*OFFSET(AQ31,-1,0))</f>
        <v>#NAME?</v>
      </c>
      <c r="AS31" s="114">
        <f>G_Lookup($A31,$E$20, AS$21,$D31)</f>
        <v>0</v>
      </c>
      <c r="AT31" s="115">
        <f>T_LNA($A31, AS$21,$C31)</f>
        <v>0.19895442412967093</v>
      </c>
      <c r="AU31" s="68">
        <f t="shared" ref="AU31" ca="1" si="164">AS31+OFFSET(AU31,-1,0)</f>
        <v>-0.31096924162395423</v>
      </c>
      <c r="AV31" s="65" t="e">
        <f t="shared" ref="AV31" ca="1" si="165">OFFSET(AV31,-1,0)+AT31*dbToAbs(-1*OFFSET(AU31,-1,0))</f>
        <v>#NAME?</v>
      </c>
      <c r="AW31" s="408"/>
      <c r="AX31" s="407"/>
      <c r="AY31" s="408"/>
      <c r="AZ31" s="408"/>
    </row>
    <row r="32" spans="1:52" s="17" customFormat="1" ht="15.5">
      <c r="A32" s="63" t="s">
        <v>56</v>
      </c>
      <c r="B32" s="98">
        <v>1</v>
      </c>
      <c r="C32" s="102">
        <f t="shared" si="100"/>
        <v>20</v>
      </c>
      <c r="D32" s="97"/>
      <c r="E32" s="114">
        <f>G_Lookup($A32,$E$20, E$21,$D32)</f>
        <v>29.35</v>
      </c>
      <c r="F32" s="115">
        <f>T_LNA($A32, E$21)</f>
        <v>7.3449999999999989</v>
      </c>
      <c r="G32" s="68">
        <f t="shared" ca="1" si="103"/>
        <v>28.962793792779809</v>
      </c>
      <c r="H32" s="65" t="e">
        <f t="shared" ca="1" si="144"/>
        <v>#NAME?</v>
      </c>
      <c r="I32" s="114">
        <f>G_Lookup($A32,$E$20, I$21,$D32)</f>
        <v>29.3</v>
      </c>
      <c r="J32" s="115">
        <f>T_LNA($A32, I$21)</f>
        <v>7.7744000000000009</v>
      </c>
      <c r="K32" s="68">
        <f t="shared" ca="1" si="106"/>
        <v>28.935379899563014</v>
      </c>
      <c r="L32" s="65" t="e">
        <f t="shared" ca="1" si="107"/>
        <v>#NAME?</v>
      </c>
      <c r="M32" s="114">
        <f>G_Lookup($A32,$E$20, M$21,$D32)</f>
        <v>29.65</v>
      </c>
      <c r="N32" s="115">
        <f>T_LNA($A32, M$21)</f>
        <v>8.452399999999999</v>
      </c>
      <c r="O32" s="68">
        <f t="shared" ca="1" si="110"/>
        <v>29.300474125020461</v>
      </c>
      <c r="P32" s="65" t="e">
        <f t="shared" ca="1" si="111"/>
        <v>#NAME?</v>
      </c>
      <c r="Q32" s="114">
        <f>G_Lookup($A32,$E$20, Q$21,$D32)</f>
        <v>29.71</v>
      </c>
      <c r="R32" s="115">
        <f>T_LNA($A32, Q$21)</f>
        <v>8.1812000000000005</v>
      </c>
      <c r="S32" s="68">
        <f t="shared" ca="1" si="114"/>
        <v>29.371341969338946</v>
      </c>
      <c r="T32" s="65" t="e">
        <f t="shared" ca="1" si="115"/>
        <v>#NAME?</v>
      </c>
      <c r="U32" s="114">
        <f>G_Lookup($A32,$E$20, U$21,$D32)</f>
        <v>29.24</v>
      </c>
      <c r="V32" s="115">
        <f>T_LNA($A32, U$21)</f>
        <v>9.2659999999999982</v>
      </c>
      <c r="W32" s="68">
        <f t="shared" ca="1" si="118"/>
        <v>28.90851690792077</v>
      </c>
      <c r="X32" s="65" t="e">
        <f t="shared" ca="1" si="119"/>
        <v>#NAME?</v>
      </c>
      <c r="Y32" s="114">
        <f>G_Lookup($A32,$E$20, Y$21,$D32)</f>
        <v>28.800000000000004</v>
      </c>
      <c r="Z32" s="115">
        <f>T_LNA($A32, Y$21)</f>
        <v>8.1360000000000028</v>
      </c>
      <c r="AA32" s="68">
        <f t="shared" ca="1" si="122"/>
        <v>28.473694140200706</v>
      </c>
      <c r="AB32" s="65" t="e">
        <f t="shared" ca="1" si="123"/>
        <v>#NAME?</v>
      </c>
      <c r="AC32" s="114">
        <f>G_Lookup($A32,$E$20, AC$21,$D32)</f>
        <v>27.6</v>
      </c>
      <c r="AD32" s="115">
        <f>T_LNA($A32, AC$21)</f>
        <v>6.3505999999999991</v>
      </c>
      <c r="AE32" s="68">
        <f t="shared" ca="1" si="126"/>
        <v>27.277455488766176</v>
      </c>
      <c r="AF32" s="65" t="e">
        <f t="shared" ca="1" si="127"/>
        <v>#NAME?</v>
      </c>
      <c r="AG32" s="114">
        <f>G_Lookup($A32,$E$20, AG$21,$D32)</f>
        <v>28</v>
      </c>
      <c r="AH32" s="115">
        <f>T_LNA($A32, AG$21)</f>
        <v>6.6895999999999995</v>
      </c>
      <c r="AI32" s="68">
        <f t="shared" ca="1" si="130"/>
        <v>27.681281817247903</v>
      </c>
      <c r="AJ32" s="65" t="e">
        <f t="shared" ca="1" si="131"/>
        <v>#NAME?</v>
      </c>
      <c r="AK32" s="114">
        <f>G_Lookup($A32,$E$20, AK$21,$D32)</f>
        <v>27.79</v>
      </c>
      <c r="AL32" s="115">
        <f>T_LNA($A32, AK$21)</f>
        <v>6.8590999999999989</v>
      </c>
      <c r="AM32" s="68">
        <f t="shared" ca="1" si="134"/>
        <v>27.474522291019625</v>
      </c>
      <c r="AN32" s="65" t="e">
        <f t="shared" ca="1" si="135"/>
        <v>#NAME?</v>
      </c>
      <c r="AO32" s="114">
        <f>G_Lookup($A32,$E$20, AO$21,$D32)</f>
        <v>27.52</v>
      </c>
      <c r="AP32" s="115">
        <f>T_LNA($A32, AO$21)</f>
        <v>7.503199999999997</v>
      </c>
      <c r="AQ32" s="68">
        <f t="shared" ca="1" si="138"/>
        <v>27.207202308388009</v>
      </c>
      <c r="AR32" s="65" t="e">
        <f t="shared" ca="1" si="139"/>
        <v>#NAME?</v>
      </c>
      <c r="AS32" s="114">
        <f>G_Lookup($A32,$E$20, AS$21,$D32)</f>
        <v>27.4</v>
      </c>
      <c r="AT32" s="115">
        <f>T_LNA($A32, AS$21)</f>
        <v>8.8139999999999983</v>
      </c>
      <c r="AU32" s="68">
        <f t="shared" ca="1" si="142"/>
        <v>27.089030758376044</v>
      </c>
      <c r="AV32" s="65" t="e">
        <f t="shared" ca="1" si="143"/>
        <v>#NAME?</v>
      </c>
      <c r="AW32" s="408"/>
      <c r="AX32" s="407"/>
      <c r="AY32" s="408"/>
      <c r="AZ32" s="408"/>
    </row>
    <row r="33" spans="1:52" s="10" customFormat="1" ht="15.5">
      <c r="A33" s="538" t="s">
        <v>34</v>
      </c>
      <c r="B33" s="96">
        <v>2</v>
      </c>
      <c r="C33" s="103">
        <f t="shared" si="100"/>
        <v>50</v>
      </c>
      <c r="D33" s="539">
        <v>0.2</v>
      </c>
      <c r="E33" s="534">
        <f t="shared" si="101"/>
        <v>-1.2942902184809135</v>
      </c>
      <c r="F33" s="535">
        <f t="shared" ref="F33" si="166">Atten_to_Te(E33,$C33)</f>
        <v>17.359526582265929</v>
      </c>
      <c r="G33" s="536">
        <f t="shared" ref="G33" ca="1" si="167">E33+OFFSET(G33,-1,0)</f>
        <v>27.668503574298896</v>
      </c>
      <c r="H33" s="537" t="e">
        <f t="shared" ref="H33" ca="1" si="168">OFFSET(H33,-1,0)+F33*dbToAbs(-1*OFFSET(G33,-1,0))</f>
        <v>#NAME?</v>
      </c>
      <c r="I33" s="534">
        <f t="shared" ref="I33:I34" si="169">G_Lookup($A33,$E$20, I$21,$D33)</f>
        <v>-1.3286511504499072</v>
      </c>
      <c r="J33" s="535">
        <f t="shared" ref="J33" si="170">Atten_to_Te(I33,$C33)</f>
        <v>17.894582077614295</v>
      </c>
      <c r="K33" s="536">
        <f t="shared" ref="K33" ca="1" si="171">I33+OFFSET(K33,-1,0)</f>
        <v>27.606728749113106</v>
      </c>
      <c r="L33" s="537" t="e">
        <f t="shared" ref="L33" ca="1" si="172">OFFSET(L33,-1,0)+J33*dbToAbs(-1*OFFSET(K33,-1,0))</f>
        <v>#NAME?</v>
      </c>
      <c r="M33" s="534">
        <f t="shared" ref="M33:M34" si="173">G_Lookup($A33,$E$20, M$21,$D33)</f>
        <v>-1.3618233587650725</v>
      </c>
      <c r="N33" s="535">
        <f t="shared" ref="N33" si="174">Atten_to_Te(M33,$C33)</f>
        <v>18.415158936078623</v>
      </c>
      <c r="O33" s="536">
        <f t="shared" ref="O33" ca="1" si="175">M33+OFFSET(O33,-1,0)</f>
        <v>27.938650766255389</v>
      </c>
      <c r="P33" s="537" t="e">
        <f t="shared" ref="P33" ca="1" si="176">OFFSET(P33,-1,0)+N33*dbToAbs(-1*OFFSET(O33,-1,0))</f>
        <v>#NAME?</v>
      </c>
      <c r="Q33" s="534">
        <f t="shared" ref="Q33:Q34" si="177">G_Lookup($A33,$E$20, Q$21,$D33)</f>
        <v>-1.397270199844165</v>
      </c>
      <c r="R33" s="535">
        <f t="shared" ref="R33" si="178">Atten_to_Te(Q33,$C33)</f>
        <v>18.975844164628207</v>
      </c>
      <c r="S33" s="536">
        <f t="shared" ref="S33" ca="1" si="179">Q33+OFFSET(S33,-1,0)</f>
        <v>27.974071769494781</v>
      </c>
      <c r="T33" s="537" t="e">
        <f t="shared" ref="T33" ca="1" si="180">OFFSET(T33,-1,0)+R33*dbToAbs(-1*OFFSET(S33,-1,0))</f>
        <v>#NAME?</v>
      </c>
      <c r="U33" s="534">
        <f t="shared" ref="U33:U34" si="181">G_Lookup($A33,$E$20, U$21,$D33)</f>
        <v>-1.4325448795695344</v>
      </c>
      <c r="V33" s="535">
        <f t="shared" ref="V33" si="182">Atten_to_Te(U33,$C33)</f>
        <v>19.538367729171036</v>
      </c>
      <c r="W33" s="536">
        <f t="shared" ref="W33" ca="1" si="183">U33+OFFSET(W33,-1,0)</f>
        <v>27.475972028351237</v>
      </c>
      <c r="X33" s="537" t="e">
        <f t="shared" ref="X33" ca="1" si="184">OFFSET(X33,-1,0)+V33*dbToAbs(-1*OFFSET(W33,-1,0))</f>
        <v>#NAME?</v>
      </c>
      <c r="Y33" s="534">
        <f t="shared" ref="Y33:Y34" si="185">G_Lookup($A33,$E$20, Y$21,$D33)</f>
        <v>-1.4687075264734799</v>
      </c>
      <c r="Z33" s="535">
        <f t="shared" ref="Z33" si="186">Atten_to_Te(Y33,$C33)</f>
        <v>20.119814253607959</v>
      </c>
      <c r="AA33" s="536">
        <f t="shared" ref="AA33" ca="1" si="187">Y33+OFFSET(AA33,-1,0)</f>
        <v>27.004986613727226</v>
      </c>
      <c r="AB33" s="537" t="e">
        <f t="shared" ref="AB33" ca="1" si="188">OFFSET(AB33,-1,0)+Z33*dbToAbs(-1*OFFSET(AA33,-1,0))</f>
        <v>#NAME?</v>
      </c>
      <c r="AC33" s="534">
        <f t="shared" ref="AC33:AC34" si="189">G_Lookup($A33,$E$20, AC$21,$D33)</f>
        <v>-1.5076519154469599</v>
      </c>
      <c r="AD33" s="535">
        <f t="shared" ref="AD33" si="190">Atten_to_Te(AC33,$C33)</f>
        <v>20.751425732849338</v>
      </c>
      <c r="AE33" s="536">
        <f t="shared" ref="AE33" ca="1" si="191">AC33+OFFSET(AE33,-1,0)</f>
        <v>25.769803573319216</v>
      </c>
      <c r="AF33" s="537" t="e">
        <f t="shared" ref="AF33" ca="1" si="192">OFFSET(AF33,-1,0)+AD33*dbToAbs(-1*OFFSET(AE33,-1,0))</f>
        <v>#NAME?</v>
      </c>
      <c r="AG33" s="534">
        <f t="shared" ref="AG33:AG34" si="193">G_Lookup($A33,$E$20, AG$21,$D33)</f>
        <v>-1.5448549398334219</v>
      </c>
      <c r="AH33" s="535">
        <f t="shared" ref="AH33" si="194">Atten_to_Te(AG33,$C33)</f>
        <v>21.360107945372953</v>
      </c>
      <c r="AI33" s="536">
        <f t="shared" ref="AI33" ca="1" si="195">AG33+OFFSET(AI33,-1,0)</f>
        <v>26.136426877414483</v>
      </c>
      <c r="AJ33" s="537" t="e">
        <f t="shared" ref="AJ33" ca="1" si="196">OFFSET(AJ33,-1,0)+AH33*dbToAbs(-1*OFFSET(AI33,-1,0))</f>
        <v>#NAME?</v>
      </c>
      <c r="AK33" s="534">
        <f t="shared" ref="AK33:AK34" si="197">G_Lookup($A33,$E$20, AK$21,$D33)</f>
        <v>-1.584404365142664</v>
      </c>
      <c r="AL33" s="535">
        <f t="shared" ref="AL33" si="198">Atten_to_Te(AK33,$C33)</f>
        <v>22.012923262984273</v>
      </c>
      <c r="AM33" s="536">
        <f t="shared" ref="AM33" ca="1" si="199">AK33+OFFSET(AM33,-1,0)</f>
        <v>25.890117925876961</v>
      </c>
      <c r="AN33" s="537" t="e">
        <f t="shared" ref="AN33" ca="1" si="200">OFFSET(AN33,-1,0)+AL33*dbToAbs(-1*OFFSET(AM33,-1,0))</f>
        <v>#NAME?</v>
      </c>
      <c r="AO33" s="534">
        <f t="shared" ref="AO33:AO34" si="201">G_Lookup($A33,$E$20, AO$21,$D33)</f>
        <v>-1.6272242084947039</v>
      </c>
      <c r="AP33" s="535">
        <f t="shared" ref="AP33" si="202">Atten_to_Te(AO33,$C33)</f>
        <v>22.726456084765612</v>
      </c>
      <c r="AQ33" s="536">
        <f t="shared" ref="AQ33" ca="1" si="203">AO33+OFFSET(AQ33,-1,0)</f>
        <v>25.579978099893307</v>
      </c>
      <c r="AR33" s="537" t="e">
        <f t="shared" ref="AR33" ca="1" si="204">OFFSET(AR33,-1,0)+AP33*dbToAbs(-1*OFFSET(AQ33,-1,0))</f>
        <v>#NAME?</v>
      </c>
      <c r="AS33" s="534">
        <f t="shared" ref="AS33:AS34" si="205">G_Lookup($A33,$E$20, AS$21,$D33)</f>
        <v>-1.667121303683494</v>
      </c>
      <c r="AT33" s="535">
        <f t="shared" ref="AT33" si="206">Atten_to_Te(AS33,$C33)</f>
        <v>23.397646541240459</v>
      </c>
      <c r="AU33" s="536">
        <f t="shared" ref="AU33" ca="1" si="207">AS33+OFFSET(AU33,-1,0)</f>
        <v>25.42190945469255</v>
      </c>
      <c r="AV33" s="537" t="e">
        <f t="shared" ref="AV33" ca="1" si="208">OFFSET(AV33,-1,0)+AT33*dbToAbs(-1*OFFSET(AU33,-1,0))</f>
        <v>#NAME?</v>
      </c>
      <c r="AW33" s="406"/>
      <c r="AX33" s="406"/>
      <c r="AY33" s="406"/>
      <c r="AZ33" s="406"/>
    </row>
    <row r="34" spans="1:52" s="10" customFormat="1" ht="16" thickBot="1">
      <c r="A34" s="127" t="s">
        <v>34</v>
      </c>
      <c r="B34" s="98">
        <v>4</v>
      </c>
      <c r="C34" s="102">
        <f t="shared" si="100"/>
        <v>190</v>
      </c>
      <c r="D34" s="540">
        <v>0.45</v>
      </c>
      <c r="E34" s="128">
        <f t="shared" si="101"/>
        <v>-2.9121529915820554</v>
      </c>
      <c r="F34" s="129">
        <f t="shared" ref="F34" si="209">Atten_to_Te(E34,$C34)</f>
        <v>181.50862435972817</v>
      </c>
      <c r="G34" s="83">
        <f t="shared" ca="1" si="103"/>
        <v>24.756350582716841</v>
      </c>
      <c r="H34" s="84" t="e">
        <f t="shared" ca="1" si="144"/>
        <v>#NAME?</v>
      </c>
      <c r="I34" s="128">
        <f t="shared" si="169"/>
        <v>-2.9894650885122909</v>
      </c>
      <c r="J34" s="129">
        <f t="shared" ref="J34" si="210">Atten_to_Te(I34,$C34)</f>
        <v>188.18135172773506</v>
      </c>
      <c r="K34" s="83">
        <f t="shared" ca="1" si="106"/>
        <v>24.617263660600816</v>
      </c>
      <c r="L34" s="84" t="e">
        <f t="shared" ca="1" si="107"/>
        <v>#NAME?</v>
      </c>
      <c r="M34" s="128">
        <f t="shared" si="173"/>
        <v>-3.0641025572214131</v>
      </c>
      <c r="N34" s="129">
        <f t="shared" ref="N34" si="211">Atten_to_Te(M34,$C34)</f>
        <v>194.73691356990679</v>
      </c>
      <c r="O34" s="83">
        <f t="shared" ca="1" si="110"/>
        <v>24.874548209033975</v>
      </c>
      <c r="P34" s="84" t="e">
        <f t="shared" ca="1" si="111"/>
        <v>#NAME?</v>
      </c>
      <c r="Q34" s="128">
        <f t="shared" si="177"/>
        <v>-3.1438579496493713</v>
      </c>
      <c r="R34" s="129">
        <f t="shared" ref="R34" si="212">Atten_to_Te(Q34,$C34)</f>
        <v>201.86763505628602</v>
      </c>
      <c r="S34" s="83">
        <f t="shared" ca="1" si="114"/>
        <v>24.830213819845412</v>
      </c>
      <c r="T34" s="84" t="e">
        <f t="shared" ca="1" si="115"/>
        <v>#NAME?</v>
      </c>
      <c r="U34" s="128">
        <f t="shared" si="181"/>
        <v>-3.2232259790314521</v>
      </c>
      <c r="V34" s="129">
        <f t="shared" ref="V34" si="213">Atten_to_Te(U34,$C34)</f>
        <v>209.09491915916385</v>
      </c>
      <c r="W34" s="83">
        <f t="shared" ca="1" si="118"/>
        <v>24.252746049319786</v>
      </c>
      <c r="X34" s="84" t="e">
        <f t="shared" ca="1" si="119"/>
        <v>#NAME?</v>
      </c>
      <c r="Y34" s="128">
        <f t="shared" si="185"/>
        <v>-3.3045919345653294</v>
      </c>
      <c r="Z34" s="129">
        <f t="shared" ref="Z34" si="214">Atten_to_Te(Y34,$C34)</f>
        <v>216.64252594072559</v>
      </c>
      <c r="AA34" s="83">
        <f t="shared" ca="1" si="122"/>
        <v>23.700394679161896</v>
      </c>
      <c r="AB34" s="84" t="e">
        <f t="shared" ca="1" si="123"/>
        <v>#NAME?</v>
      </c>
      <c r="AC34" s="128">
        <f t="shared" si="189"/>
        <v>-3.3922168097556593</v>
      </c>
      <c r="AD34" s="129">
        <f t="shared" ref="AD34" si="215">Atten_to_Te(AC34,$C34)</f>
        <v>224.93042600489946</v>
      </c>
      <c r="AE34" s="83">
        <f t="shared" ca="1" si="126"/>
        <v>22.377586763563556</v>
      </c>
      <c r="AF34" s="84" t="e">
        <f t="shared" ca="1" si="127"/>
        <v>#NAME?</v>
      </c>
      <c r="AG34" s="128">
        <f t="shared" si="193"/>
        <v>-3.4759236146251995</v>
      </c>
      <c r="AH34" s="129">
        <f t="shared" ref="AH34" si="216">Atten_to_Te(AG34,$C34)</f>
        <v>233.00544956796261</v>
      </c>
      <c r="AI34" s="83">
        <f t="shared" ca="1" si="130"/>
        <v>22.660503262789284</v>
      </c>
      <c r="AJ34" s="84" t="e">
        <f t="shared" ca="1" si="131"/>
        <v>#NAME?</v>
      </c>
      <c r="AK34" s="128">
        <f t="shared" si="197"/>
        <v>-3.564909821570994</v>
      </c>
      <c r="AL34" s="129">
        <f t="shared" ref="AL34" si="217">Atten_to_Te(AK34,$C34)</f>
        <v>241.76216534738913</v>
      </c>
      <c r="AM34" s="83">
        <f t="shared" ca="1" si="134"/>
        <v>22.325208104305968</v>
      </c>
      <c r="AN34" s="84" t="e">
        <f t="shared" ca="1" si="135"/>
        <v>#NAME?</v>
      </c>
      <c r="AO34" s="128">
        <f t="shared" si="201"/>
        <v>-3.6612544691130835</v>
      </c>
      <c r="AP34" s="129">
        <f t="shared" ref="AP34" si="218">Atten_to_Te(AO34,$C34)</f>
        <v>251.44748596559052</v>
      </c>
      <c r="AQ34" s="83">
        <f t="shared" ca="1" si="138"/>
        <v>21.918723630780224</v>
      </c>
      <c r="AR34" s="84" t="e">
        <f t="shared" ca="1" si="139"/>
        <v>#NAME?</v>
      </c>
      <c r="AS34" s="128">
        <f t="shared" si="205"/>
        <v>-3.7510229332878611</v>
      </c>
      <c r="AT34" s="129">
        <f t="shared" ref="AT34" si="219">Atten_to_Te(AS34,$C34)</f>
        <v>260.66714130563798</v>
      </c>
      <c r="AU34" s="83">
        <f t="shared" ca="1" si="142"/>
        <v>21.67088652140469</v>
      </c>
      <c r="AV34" s="84" t="e">
        <f t="shared" ca="1" si="143"/>
        <v>#NAME?</v>
      </c>
      <c r="AW34" s="406"/>
      <c r="AX34" s="406"/>
      <c r="AY34" s="406"/>
      <c r="AZ34" s="406"/>
    </row>
    <row r="35" spans="1:52" s="10" customFormat="1" ht="16" thickBot="1">
      <c r="A35" s="105" t="s">
        <v>23</v>
      </c>
      <c r="B35" s="100"/>
      <c r="C35" s="100"/>
      <c r="D35" s="94"/>
      <c r="E35" s="85"/>
      <c r="F35" s="85"/>
      <c r="G35" s="88">
        <f ca="1">G34</f>
        <v>24.756350582716841</v>
      </c>
      <c r="H35" s="87" t="e">
        <f ca="1">H34</f>
        <v>#NAME?</v>
      </c>
      <c r="I35" s="85"/>
      <c r="J35" s="85"/>
      <c r="K35" s="88">
        <f ca="1">K34</f>
        <v>24.617263660600816</v>
      </c>
      <c r="L35" s="87" t="e">
        <f ca="1">L34</f>
        <v>#NAME?</v>
      </c>
      <c r="M35" s="85"/>
      <c r="N35" s="85"/>
      <c r="O35" s="88">
        <f ca="1">O34</f>
        <v>24.874548209033975</v>
      </c>
      <c r="P35" s="87" t="e">
        <f ca="1">P34</f>
        <v>#NAME?</v>
      </c>
      <c r="Q35" s="85"/>
      <c r="R35" s="85"/>
      <c r="S35" s="88">
        <f ca="1">S34</f>
        <v>24.830213819845412</v>
      </c>
      <c r="T35" s="87" t="e">
        <f ca="1">T34</f>
        <v>#NAME?</v>
      </c>
      <c r="U35" s="85"/>
      <c r="V35" s="85"/>
      <c r="W35" s="88">
        <f ca="1">W34</f>
        <v>24.252746049319786</v>
      </c>
      <c r="X35" s="87" t="e">
        <f ca="1">X34</f>
        <v>#NAME?</v>
      </c>
      <c r="Y35" s="85"/>
      <c r="Z35" s="85"/>
      <c r="AA35" s="88">
        <f ca="1">AA34</f>
        <v>23.700394679161896</v>
      </c>
      <c r="AB35" s="87" t="e">
        <f ca="1">AB34</f>
        <v>#NAME?</v>
      </c>
      <c r="AC35" s="85"/>
      <c r="AD35" s="85"/>
      <c r="AE35" s="88">
        <f ca="1">AE34</f>
        <v>22.377586763563556</v>
      </c>
      <c r="AF35" s="87" t="e">
        <f ca="1">AF34</f>
        <v>#NAME?</v>
      </c>
      <c r="AG35" s="85"/>
      <c r="AH35" s="85"/>
      <c r="AI35" s="88">
        <f ca="1">AI34</f>
        <v>22.660503262789284</v>
      </c>
      <c r="AJ35" s="87" t="e">
        <f ca="1">AJ34</f>
        <v>#NAME?</v>
      </c>
      <c r="AK35" s="85"/>
      <c r="AL35" s="85"/>
      <c r="AM35" s="88">
        <f ca="1">AM34</f>
        <v>22.325208104305968</v>
      </c>
      <c r="AN35" s="87" t="e">
        <f ca="1">AN34</f>
        <v>#NAME?</v>
      </c>
      <c r="AO35" s="85"/>
      <c r="AP35" s="85"/>
      <c r="AQ35" s="88">
        <f ca="1">AQ34</f>
        <v>21.918723630780224</v>
      </c>
      <c r="AR35" s="87" t="e">
        <f ca="1">AR34</f>
        <v>#NAME?</v>
      </c>
      <c r="AS35" s="85"/>
      <c r="AT35" s="85"/>
      <c r="AU35" s="88">
        <f ca="1">AU34</f>
        <v>21.67088652140469</v>
      </c>
      <c r="AV35" s="87" t="e">
        <f ca="1">AV34</f>
        <v>#NAME?</v>
      </c>
      <c r="AW35" s="406"/>
      <c r="AX35" s="406"/>
      <c r="AY35" s="406"/>
      <c r="AZ35" s="406"/>
    </row>
    <row r="36" spans="1:52" s="10" customFormat="1" ht="15.5">
      <c r="AS36" s="9"/>
      <c r="AT36" s="9"/>
      <c r="AU36" s="9"/>
      <c r="AV36" s="9"/>
    </row>
    <row r="37" spans="1:52" s="10" customFormat="1" ht="15.5">
      <c r="AS37" s="27"/>
      <c r="AT37" s="27"/>
      <c r="AU37" s="27"/>
      <c r="AV37" s="27"/>
    </row>
    <row r="38" spans="1:52" s="10" customFormat="1" ht="15.5">
      <c r="A38" s="7"/>
      <c r="E38" s="8"/>
      <c r="F38" s="8"/>
      <c r="G38" s="8"/>
      <c r="H38" s="8"/>
      <c r="AS38" s="27"/>
      <c r="AT38" s="27"/>
      <c r="AU38" s="27"/>
      <c r="AV38" s="27"/>
    </row>
    <row r="39" spans="1:52" s="10" customFormat="1" ht="15.5">
      <c r="A39" s="7"/>
      <c r="E39" s="8"/>
      <c r="F39" s="8"/>
      <c r="G39" s="8"/>
      <c r="H39" s="8"/>
      <c r="AS39" s="27"/>
      <c r="AT39" s="27"/>
      <c r="AU39" s="27"/>
      <c r="AV39" s="27"/>
    </row>
    <row r="40" spans="1:52" s="10" customFormat="1" ht="15.5">
      <c r="A40" s="7"/>
      <c r="E40" s="8"/>
      <c r="F40" s="8"/>
      <c r="G40" s="8"/>
      <c r="H40" s="8"/>
      <c r="AS40" s="27"/>
      <c r="AT40" s="27"/>
      <c r="AU40" s="27"/>
      <c r="AV40" s="27"/>
    </row>
    <row r="41" spans="1:52" s="10" customFormat="1" ht="15.5">
      <c r="A41" s="7"/>
      <c r="E41" s="8"/>
      <c r="F41" s="8"/>
      <c r="G41" s="8"/>
      <c r="H41" s="8"/>
      <c r="AS41" s="27"/>
      <c r="AT41" s="27"/>
      <c r="AU41" s="27"/>
      <c r="AV41" s="27"/>
    </row>
    <row r="42" spans="1:52" s="10" customFormat="1" ht="15.5">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row>
    <row r="43" spans="1:52" s="10" customFormat="1" ht="15.5">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row>
    <row r="44" spans="1:52" s="10" customFormat="1" ht="15.5">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row>
    <row r="45" spans="1:52" s="10" customFormat="1" ht="15.5">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row>
    <row r="46" spans="1:52" s="10" customFormat="1" ht="15.5">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row>
    <row r="47" spans="1:52" s="10" customFormat="1" ht="15.5">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row>
    <row r="48" spans="1:52" s="10" customFormat="1" ht="15.5">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row>
    <row r="49" spans="5:48" s="10" customFormat="1" ht="15.5">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row>
    <row r="50" spans="5:48" s="10" customFormat="1" ht="15.5">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row>
    <row r="51" spans="5:48" s="10" customFormat="1" ht="15.5">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row>
    <row r="52" spans="5:48" s="10" customFormat="1" ht="15.5">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row>
    <row r="53" spans="5:48" s="10" customFormat="1" ht="15.5">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row>
    <row r="54" spans="5:48" s="10" customFormat="1" ht="15.5">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row>
    <row r="55" spans="5:48" s="10" customFormat="1" ht="15.5">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row>
    <row r="56" spans="5:48" s="10" customFormat="1" ht="15.5">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row>
    <row r="57" spans="5:48" s="10" customFormat="1" ht="15.5">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row>
    <row r="58" spans="5:48" s="10" customFormat="1" ht="15.5">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row>
    <row r="59" spans="5:48" s="10" customFormat="1" ht="15.5">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row>
    <row r="60" spans="5:48" s="10" customFormat="1" ht="15.5">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row>
    <row r="61" spans="5:48" s="10" customFormat="1" ht="15.5">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row>
    <row r="62" spans="5:48" s="10" customFormat="1" ht="15.5">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row>
    <row r="63" spans="5:48" s="10" customFormat="1" ht="15.5">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row>
    <row r="64" spans="5:48" s="10" customFormat="1" ht="15.5">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row>
    <row r="65" spans="5:48" s="10" customFormat="1" ht="15.5">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row>
    <row r="66" spans="5:48" s="10" customFormat="1" ht="15.5">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row>
    <row r="67" spans="5:48" s="10" customFormat="1" ht="15.5">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row>
    <row r="68" spans="5:48" s="10" customFormat="1" ht="15.5">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row>
    <row r="69" spans="5:48" s="10" customFormat="1" ht="15.5">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row>
    <row r="70" spans="5:48" s="10" customFormat="1" ht="15.5">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row>
    <row r="71" spans="5:48" s="10" customFormat="1" ht="15.5">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row>
    <row r="72" spans="5:48" s="10" customFormat="1" ht="15.5">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row>
    <row r="73" spans="5:48" s="10" customFormat="1" ht="15.5">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row>
    <row r="74" spans="5:48" s="10" customFormat="1" ht="15.5">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row>
    <row r="75" spans="5:48" s="10" customFormat="1" ht="15.5">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row>
    <row r="76" spans="5:48" s="10" customFormat="1" ht="15.5">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row>
    <row r="77" spans="5:48" s="10" customFormat="1" ht="15.5">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row>
    <row r="78" spans="5:48" s="10" customFormat="1" ht="15.5">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row>
    <row r="79" spans="5:48" s="10" customFormat="1" ht="15.5">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row>
    <row r="80" spans="5:48" s="10" customFormat="1" ht="15.5">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row>
    <row r="81" spans="5:48" s="10" customFormat="1" ht="15.5">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row>
    <row r="82" spans="5:48" s="10" customFormat="1" ht="15.5">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row>
    <row r="83" spans="5:48" s="10" customFormat="1" ht="15.5">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row>
    <row r="84" spans="5:48" s="10" customFormat="1" ht="15.5">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row>
    <row r="85" spans="5:48" s="10" customFormat="1" ht="15.5">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row>
    <row r="86" spans="5:48" s="10" customFormat="1" ht="15.5">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row>
    <row r="87" spans="5:48" s="10" customFormat="1" ht="15.5">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row>
    <row r="88" spans="5:48" s="10" customFormat="1" ht="15.5">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row>
    <row r="89" spans="5:48" s="10" customFormat="1" ht="15.5">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row>
    <row r="90" spans="5:48" s="10" customFormat="1" ht="15.5">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row>
    <row r="91" spans="5:48" s="10" customFormat="1" ht="15.5">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row>
    <row r="92" spans="5:48" s="10" customFormat="1" ht="15.5">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row>
  </sheetData>
  <mergeCells count="29">
    <mergeCell ref="E21:H21"/>
    <mergeCell ref="I4:L4"/>
    <mergeCell ref="I21:L21"/>
    <mergeCell ref="M21:P21"/>
    <mergeCell ref="AG21:AJ21"/>
    <mergeCell ref="AC4:AF4"/>
    <mergeCell ref="AC21:AF21"/>
    <mergeCell ref="Q4:T4"/>
    <mergeCell ref="U4:X4"/>
    <mergeCell ref="Y4:AB4"/>
    <mergeCell ref="Q21:T21"/>
    <mergeCell ref="U21:X21"/>
    <mergeCell ref="Y21:AB21"/>
    <mergeCell ref="AO21:AR21"/>
    <mergeCell ref="AS21:AV21"/>
    <mergeCell ref="A1:AV1"/>
    <mergeCell ref="E4:H4"/>
    <mergeCell ref="AO4:AR4"/>
    <mergeCell ref="AS4:AV4"/>
    <mergeCell ref="C3:C4"/>
    <mergeCell ref="D3:D4"/>
    <mergeCell ref="C20:C21"/>
    <mergeCell ref="D20:D21"/>
    <mergeCell ref="AK4:AN4"/>
    <mergeCell ref="AK21:AN21"/>
    <mergeCell ref="M4:P4"/>
    <mergeCell ref="B3:B4"/>
    <mergeCell ref="B20:B21"/>
    <mergeCell ref="AG4:AJ4"/>
  </mergeCells>
  <conditionalFormatting sqref="C7">
    <cfRule type="cellIs" dxfId="259" priority="106" operator="equal">
      <formula>Temp_20K_Stage</formula>
    </cfRule>
    <cfRule type="cellIs" dxfId="258" priority="107" operator="equal">
      <formula>Temp_Inter_Stage</formula>
    </cfRule>
    <cfRule type="cellIs" dxfId="257" priority="108" operator="equal">
      <formula>Temp_80K_Stage</formula>
    </cfRule>
    <cfRule type="cellIs" dxfId="256" priority="109" operator="equal">
      <formula>Temp_Intermediate</formula>
    </cfRule>
    <cfRule type="cellIs" dxfId="255" priority="110" operator="equal">
      <formula>Temp_Ambient</formula>
    </cfRule>
  </conditionalFormatting>
  <conditionalFormatting sqref="B7">
    <cfRule type="cellIs" dxfId="254" priority="101" operator="equal">
      <formula>Temp_20K_Stage</formula>
    </cfRule>
    <cfRule type="cellIs" dxfId="253" priority="102" operator="equal">
      <formula>Temp_Inter_Stage</formula>
    </cfRule>
    <cfRule type="cellIs" dxfId="252" priority="103" operator="equal">
      <formula>Temp_80K_Stage</formula>
    </cfRule>
    <cfRule type="cellIs" dxfId="251" priority="104" operator="equal">
      <formula>Temp_Intermediate</formula>
    </cfRule>
    <cfRule type="cellIs" dxfId="250" priority="105" operator="equal">
      <formula>Temp_Ambient</formula>
    </cfRule>
  </conditionalFormatting>
  <conditionalFormatting sqref="C8:C13 C15 C17">
    <cfRule type="cellIs" dxfId="249" priority="96" operator="equal">
      <formula>Temp_20K_Stage</formula>
    </cfRule>
    <cfRule type="cellIs" dxfId="248" priority="97" operator="equal">
      <formula>Temp_Inter_Stage</formula>
    </cfRule>
    <cfRule type="cellIs" dxfId="247" priority="98" operator="equal">
      <formula>Temp_80K_Stage</formula>
    </cfRule>
    <cfRule type="cellIs" dxfId="246" priority="99" operator="equal">
      <formula>Temp_Intermediate</formula>
    </cfRule>
    <cfRule type="cellIs" dxfId="245" priority="100" operator="equal">
      <formula>Temp_Ambient</formula>
    </cfRule>
  </conditionalFormatting>
  <conditionalFormatting sqref="B8:B13 B15 B17">
    <cfRule type="cellIs" dxfId="244" priority="91" operator="equal">
      <formula>Temp_20K_Stage</formula>
    </cfRule>
    <cfRule type="cellIs" dxfId="243" priority="92" operator="equal">
      <formula>Temp_Inter_Stage</formula>
    </cfRule>
    <cfRule type="cellIs" dxfId="242" priority="93" operator="equal">
      <formula>Temp_80K_Stage</formula>
    </cfRule>
    <cfRule type="cellIs" dxfId="241" priority="94" operator="equal">
      <formula>Temp_Intermediate</formula>
    </cfRule>
    <cfRule type="cellIs" dxfId="240" priority="95" operator="equal">
      <formula>Temp_Ambient</formula>
    </cfRule>
  </conditionalFormatting>
  <conditionalFormatting sqref="C6">
    <cfRule type="cellIs" dxfId="239" priority="116" operator="equal">
      <formula>Temp_20K_Stage</formula>
    </cfRule>
    <cfRule type="cellIs" dxfId="238" priority="117" operator="equal">
      <formula>Temp_Inter_Stage</formula>
    </cfRule>
    <cfRule type="cellIs" dxfId="237" priority="118" operator="equal">
      <formula>Temp_80K_Stage</formula>
    </cfRule>
    <cfRule type="cellIs" dxfId="236" priority="119" operator="equal">
      <formula>Temp_Intermediate</formula>
    </cfRule>
    <cfRule type="cellIs" dxfId="235" priority="120" operator="equal">
      <formula>Temp_Ambient</formula>
    </cfRule>
  </conditionalFormatting>
  <conditionalFormatting sqref="B6">
    <cfRule type="cellIs" dxfId="234" priority="111" operator="equal">
      <formula>Temp_20K_Stage</formula>
    </cfRule>
    <cfRule type="cellIs" dxfId="233" priority="112" operator="equal">
      <formula>Temp_Inter_Stage</formula>
    </cfRule>
    <cfRule type="cellIs" dxfId="232" priority="113" operator="equal">
      <formula>Temp_80K_Stage</formula>
    </cfRule>
    <cfRule type="cellIs" dxfId="231" priority="114" operator="equal">
      <formula>Temp_Intermediate</formula>
    </cfRule>
    <cfRule type="cellIs" dxfId="230" priority="115" operator="equal">
      <formula>Temp_Ambient</formula>
    </cfRule>
  </conditionalFormatting>
  <conditionalFormatting sqref="C24">
    <cfRule type="cellIs" dxfId="229" priority="56" operator="equal">
      <formula>Temp_20K_Stage</formula>
    </cfRule>
    <cfRule type="cellIs" dxfId="228" priority="57" operator="equal">
      <formula>Temp_Inter_Stage</formula>
    </cfRule>
    <cfRule type="cellIs" dxfId="227" priority="58" operator="equal">
      <formula>Temp_80K_Stage</formula>
    </cfRule>
    <cfRule type="cellIs" dxfId="226" priority="59" operator="equal">
      <formula>Temp_Intermediate</formula>
    </cfRule>
    <cfRule type="cellIs" dxfId="225" priority="60" operator="equal">
      <formula>Temp_Ambient</formula>
    </cfRule>
  </conditionalFormatting>
  <conditionalFormatting sqref="B24">
    <cfRule type="cellIs" dxfId="224" priority="51" operator="equal">
      <formula>Temp_20K_Stage</formula>
    </cfRule>
    <cfRule type="cellIs" dxfId="223" priority="52" operator="equal">
      <formula>Temp_Inter_Stage</formula>
    </cfRule>
    <cfRule type="cellIs" dxfId="222" priority="53" operator="equal">
      <formula>Temp_80K_Stage</formula>
    </cfRule>
    <cfRule type="cellIs" dxfId="221" priority="54" operator="equal">
      <formula>Temp_Intermediate</formula>
    </cfRule>
    <cfRule type="cellIs" dxfId="220" priority="55" operator="equal">
      <formula>Temp_Ambient</formula>
    </cfRule>
  </conditionalFormatting>
  <conditionalFormatting sqref="C25:C30 C32 C34">
    <cfRule type="cellIs" dxfId="219" priority="46" operator="equal">
      <formula>Temp_20K_Stage</formula>
    </cfRule>
    <cfRule type="cellIs" dxfId="218" priority="47" operator="equal">
      <formula>Temp_Inter_Stage</formula>
    </cfRule>
    <cfRule type="cellIs" dxfId="217" priority="48" operator="equal">
      <formula>Temp_80K_Stage</formula>
    </cfRule>
    <cfRule type="cellIs" dxfId="216" priority="49" operator="equal">
      <formula>Temp_Intermediate</formula>
    </cfRule>
    <cfRule type="cellIs" dxfId="215" priority="50" operator="equal">
      <formula>Temp_Ambient</formula>
    </cfRule>
  </conditionalFormatting>
  <conditionalFormatting sqref="B25:B30 B32 B34">
    <cfRule type="cellIs" dxfId="214" priority="41" operator="equal">
      <formula>Temp_20K_Stage</formula>
    </cfRule>
    <cfRule type="cellIs" dxfId="213" priority="42" operator="equal">
      <formula>Temp_Inter_Stage</formula>
    </cfRule>
    <cfRule type="cellIs" dxfId="212" priority="43" operator="equal">
      <formula>Temp_80K_Stage</formula>
    </cfRule>
    <cfRule type="cellIs" dxfId="211" priority="44" operator="equal">
      <formula>Temp_Intermediate</formula>
    </cfRule>
    <cfRule type="cellIs" dxfId="210" priority="45" operator="equal">
      <formula>Temp_Ambient</formula>
    </cfRule>
  </conditionalFormatting>
  <conditionalFormatting sqref="C23">
    <cfRule type="cellIs" dxfId="209" priority="66" operator="equal">
      <formula>Temp_20K_Stage</formula>
    </cfRule>
    <cfRule type="cellIs" dxfId="208" priority="67" operator="equal">
      <formula>Temp_Inter_Stage</formula>
    </cfRule>
    <cfRule type="cellIs" dxfId="207" priority="68" operator="equal">
      <formula>Temp_80K_Stage</formula>
    </cfRule>
    <cfRule type="cellIs" dxfId="206" priority="69" operator="equal">
      <formula>Temp_Intermediate</formula>
    </cfRule>
    <cfRule type="cellIs" dxfId="205" priority="70" operator="equal">
      <formula>Temp_Ambient</formula>
    </cfRule>
  </conditionalFormatting>
  <conditionalFormatting sqref="B23">
    <cfRule type="cellIs" dxfId="204" priority="61" operator="equal">
      <formula>Temp_20K_Stage</formula>
    </cfRule>
    <cfRule type="cellIs" dxfId="203" priority="62" operator="equal">
      <formula>Temp_Inter_Stage</formula>
    </cfRule>
    <cfRule type="cellIs" dxfId="202" priority="63" operator="equal">
      <formula>Temp_80K_Stage</formula>
    </cfRule>
    <cfRule type="cellIs" dxfId="201" priority="64" operator="equal">
      <formula>Temp_Intermediate</formula>
    </cfRule>
    <cfRule type="cellIs" dxfId="200" priority="65" operator="equal">
      <formula>Temp_Ambient</formula>
    </cfRule>
  </conditionalFormatting>
  <conditionalFormatting sqref="C14">
    <cfRule type="cellIs" dxfId="199" priority="36" operator="equal">
      <formula>Temp_20K_Stage</formula>
    </cfRule>
    <cfRule type="cellIs" dxfId="198" priority="37" operator="equal">
      <formula>Temp_Inter_Stage</formula>
    </cfRule>
    <cfRule type="cellIs" dxfId="197" priority="38" operator="equal">
      <formula>Temp_80K_Stage</formula>
    </cfRule>
    <cfRule type="cellIs" dxfId="196" priority="39" operator="equal">
      <formula>Temp_Intermediate</formula>
    </cfRule>
    <cfRule type="cellIs" dxfId="195" priority="40" operator="equal">
      <formula>Temp_Ambient</formula>
    </cfRule>
  </conditionalFormatting>
  <conditionalFormatting sqref="B14">
    <cfRule type="cellIs" dxfId="194" priority="31" operator="equal">
      <formula>Temp_20K_Stage</formula>
    </cfRule>
    <cfRule type="cellIs" dxfId="193" priority="32" operator="equal">
      <formula>Temp_Inter_Stage</formula>
    </cfRule>
    <cfRule type="cellIs" dxfId="192" priority="33" operator="equal">
      <formula>Temp_80K_Stage</formula>
    </cfRule>
    <cfRule type="cellIs" dxfId="191" priority="34" operator="equal">
      <formula>Temp_Intermediate</formula>
    </cfRule>
    <cfRule type="cellIs" dxfId="190" priority="35" operator="equal">
      <formula>Temp_Ambient</formula>
    </cfRule>
  </conditionalFormatting>
  <conditionalFormatting sqref="C31">
    <cfRule type="cellIs" dxfId="189" priority="26" operator="equal">
      <formula>Temp_20K_Stage</formula>
    </cfRule>
    <cfRule type="cellIs" dxfId="188" priority="27" operator="equal">
      <formula>Temp_Inter_Stage</formula>
    </cfRule>
    <cfRule type="cellIs" dxfId="187" priority="28" operator="equal">
      <formula>Temp_80K_Stage</formula>
    </cfRule>
    <cfRule type="cellIs" dxfId="186" priority="29" operator="equal">
      <formula>Temp_Intermediate</formula>
    </cfRule>
    <cfRule type="cellIs" dxfId="185" priority="30" operator="equal">
      <formula>Temp_Ambient</formula>
    </cfRule>
  </conditionalFormatting>
  <conditionalFormatting sqref="B31">
    <cfRule type="cellIs" dxfId="184" priority="21" operator="equal">
      <formula>Temp_20K_Stage</formula>
    </cfRule>
    <cfRule type="cellIs" dxfId="183" priority="22" operator="equal">
      <formula>Temp_Inter_Stage</formula>
    </cfRule>
    <cfRule type="cellIs" dxfId="182" priority="23" operator="equal">
      <formula>Temp_80K_Stage</formula>
    </cfRule>
    <cfRule type="cellIs" dxfId="181" priority="24" operator="equal">
      <formula>Temp_Intermediate</formula>
    </cfRule>
    <cfRule type="cellIs" dxfId="180" priority="25" operator="equal">
      <formula>Temp_Ambient</formula>
    </cfRule>
  </conditionalFormatting>
  <conditionalFormatting sqref="C16">
    <cfRule type="cellIs" dxfId="179" priority="16" operator="equal">
      <formula>Temp_20K_Stage</formula>
    </cfRule>
    <cfRule type="cellIs" dxfId="178" priority="17" operator="equal">
      <formula>Temp_Inter_Stage</formula>
    </cfRule>
    <cfRule type="cellIs" dxfId="177" priority="18" operator="equal">
      <formula>Temp_80K_Stage</formula>
    </cfRule>
    <cfRule type="cellIs" dxfId="176" priority="19" operator="equal">
      <formula>Temp_Intermediate</formula>
    </cfRule>
    <cfRule type="cellIs" dxfId="175" priority="20" operator="equal">
      <formula>Temp_Ambient</formula>
    </cfRule>
  </conditionalFormatting>
  <conditionalFormatting sqref="B16">
    <cfRule type="cellIs" dxfId="174" priority="11" operator="equal">
      <formula>Temp_20K_Stage</formula>
    </cfRule>
    <cfRule type="cellIs" dxfId="173" priority="12" operator="equal">
      <formula>Temp_Inter_Stage</formula>
    </cfRule>
    <cfRule type="cellIs" dxfId="172" priority="13" operator="equal">
      <formula>Temp_80K_Stage</formula>
    </cfRule>
    <cfRule type="cellIs" dxfId="171" priority="14" operator="equal">
      <formula>Temp_Intermediate</formula>
    </cfRule>
    <cfRule type="cellIs" dxfId="170" priority="15" operator="equal">
      <formula>Temp_Ambient</formula>
    </cfRule>
  </conditionalFormatting>
  <conditionalFormatting sqref="C33">
    <cfRule type="cellIs" dxfId="169" priority="6" operator="equal">
      <formula>Temp_20K_Stage</formula>
    </cfRule>
    <cfRule type="cellIs" dxfId="168" priority="7" operator="equal">
      <formula>Temp_Inter_Stage</formula>
    </cfRule>
    <cfRule type="cellIs" dxfId="167" priority="8" operator="equal">
      <formula>Temp_80K_Stage</formula>
    </cfRule>
    <cfRule type="cellIs" dxfId="166" priority="9" operator="equal">
      <formula>Temp_Intermediate</formula>
    </cfRule>
    <cfRule type="cellIs" dxfId="165" priority="10" operator="equal">
      <formula>Temp_Ambient</formula>
    </cfRule>
  </conditionalFormatting>
  <conditionalFormatting sqref="B33">
    <cfRule type="cellIs" dxfId="164" priority="1" operator="equal">
      <formula>Temp_20K_Stage</formula>
    </cfRule>
    <cfRule type="cellIs" dxfId="163" priority="2" operator="equal">
      <formula>Temp_Inter_Stage</formula>
    </cfRule>
    <cfRule type="cellIs" dxfId="162" priority="3" operator="equal">
      <formula>Temp_80K_Stage</formula>
    </cfRule>
    <cfRule type="cellIs" dxfId="161" priority="4" operator="equal">
      <formula>Temp_Intermediate</formula>
    </cfRule>
    <cfRule type="cellIs" dxfId="160" priority="5" operator="equal">
      <formula>Temp_Ambient</formula>
    </cfRule>
  </conditionalFormatting>
  <dataValidations count="2">
    <dataValidation type="list" allowBlank="1" showInputMessage="1" showErrorMessage="1" sqref="A7:A17 A24:A34" xr:uid="{00000000-0002-0000-0300-000000000000}">
      <formula1>Component_List</formula1>
    </dataValidation>
    <dataValidation type="list" allowBlank="1" showInputMessage="1" showErrorMessage="1" sqref="B6:B17 B23:B34" xr:uid="{00000000-0002-0000-0300-000001000000}">
      <formula1>"1,2,3,4,5"</formula1>
    </dataValidation>
  </dataValidations>
  <pageMargins left="0.7" right="0.7" top="0.75" bottom="0.75" header="0.3" footer="0.3"/>
  <pageSetup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Button 2">
              <controlPr defaultSize="0" print="0" autoFill="0" autoPict="0" macro="[0]!UpdateAll">
                <anchor moveWithCells="1" sizeWithCells="1">
                  <from>
                    <xdr:col>0</xdr:col>
                    <xdr:colOff>57150</xdr:colOff>
                    <xdr:row>1</xdr:row>
                    <xdr:rowOff>38100</xdr:rowOff>
                  </from>
                  <to>
                    <xdr:col>0</xdr:col>
                    <xdr:colOff>1346200</xdr:colOff>
                    <xdr:row>1</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theme="1"/>
    <pageSetUpPr fitToPage="1"/>
  </sheetPr>
  <dimension ref="A1:AZ94"/>
  <sheetViews>
    <sheetView zoomScale="80" zoomScaleNormal="80" workbookViewId="0">
      <pane xSplit="4" ySplit="1" topLeftCell="E2" activePane="bottomRight" state="frozen"/>
      <selection pane="topRight" activeCell="D1" sqref="D1"/>
      <selection pane="bottomLeft" activeCell="A2" sqref="A2"/>
      <selection pane="bottomRight" activeCell="B2" sqref="B2"/>
    </sheetView>
  </sheetViews>
  <sheetFormatPr defaultRowHeight="13"/>
  <cols>
    <col min="1" max="1" width="20.7265625" customWidth="1"/>
    <col min="2" max="4" width="6.7265625" customWidth="1"/>
    <col min="5" max="48" width="7.7265625" style="1" customWidth="1"/>
    <col min="49" max="52" width="7.7265625" customWidth="1"/>
  </cols>
  <sheetData>
    <row r="1" spans="1:52" s="46" customFormat="1" ht="18">
      <c r="A1" s="615" t="s">
        <v>67</v>
      </c>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7"/>
    </row>
    <row r="2" spans="1:52" s="10" customFormat="1" ht="20.149999999999999" customHeight="1" thickBot="1">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row>
    <row r="3" spans="1:52" s="43" customFormat="1" ht="19.5" customHeight="1" thickBot="1">
      <c r="A3" s="59" t="s">
        <v>232</v>
      </c>
      <c r="B3" s="618" t="s">
        <v>158</v>
      </c>
      <c r="C3" s="618" t="s">
        <v>32</v>
      </c>
      <c r="D3" s="618" t="s">
        <v>33</v>
      </c>
      <c r="E3" s="397">
        <v>5</v>
      </c>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9"/>
      <c r="AW3" s="403"/>
      <c r="AX3" s="403"/>
      <c r="AY3" s="403"/>
      <c r="AZ3" s="403"/>
    </row>
    <row r="4" spans="1:52" s="44" customFormat="1" ht="18.5" thickBot="1">
      <c r="A4" s="70" t="s">
        <v>7</v>
      </c>
      <c r="B4" s="619"/>
      <c r="C4" s="619"/>
      <c r="D4" s="619"/>
      <c r="E4" s="621">
        <f>fLO_Band5</f>
        <v>30.5</v>
      </c>
      <c r="F4" s="621"/>
      <c r="G4" s="621"/>
      <c r="H4" s="622"/>
      <c r="I4" s="620">
        <v>32</v>
      </c>
      <c r="J4" s="621"/>
      <c r="K4" s="621"/>
      <c r="L4" s="622"/>
      <c r="M4" s="620">
        <v>33.700000000000003</v>
      </c>
      <c r="N4" s="621"/>
      <c r="O4" s="621"/>
      <c r="P4" s="622"/>
      <c r="Q4" s="620">
        <v>35.5</v>
      </c>
      <c r="R4" s="621"/>
      <c r="S4" s="621"/>
      <c r="T4" s="622"/>
      <c r="U4" s="620">
        <v>37.299999999999997</v>
      </c>
      <c r="V4" s="621"/>
      <c r="W4" s="621"/>
      <c r="X4" s="622"/>
      <c r="Y4" s="620">
        <v>39.299999999999997</v>
      </c>
      <c r="Z4" s="621"/>
      <c r="AA4" s="621"/>
      <c r="AB4" s="622"/>
      <c r="AC4" s="620">
        <v>41.3</v>
      </c>
      <c r="AD4" s="621"/>
      <c r="AE4" s="621"/>
      <c r="AF4" s="622"/>
      <c r="AG4" s="620">
        <v>43.3</v>
      </c>
      <c r="AH4" s="621"/>
      <c r="AI4" s="621"/>
      <c r="AJ4" s="622"/>
      <c r="AK4" s="620">
        <v>45.7</v>
      </c>
      <c r="AL4" s="621"/>
      <c r="AM4" s="621"/>
      <c r="AN4" s="622"/>
      <c r="AO4" s="620">
        <v>48</v>
      </c>
      <c r="AP4" s="621"/>
      <c r="AQ4" s="621"/>
      <c r="AR4" s="622"/>
      <c r="AS4" s="620">
        <f>fHI_Band5</f>
        <v>50.5</v>
      </c>
      <c r="AT4" s="621"/>
      <c r="AU4" s="621"/>
      <c r="AV4" s="622"/>
      <c r="AW4" s="404"/>
      <c r="AX4" s="404"/>
      <c r="AY4" s="404"/>
      <c r="AZ4" s="404"/>
    </row>
    <row r="5" spans="1:52" s="11" customFormat="1" ht="16.5" thickTop="1" thickBot="1">
      <c r="A5" s="60" t="s">
        <v>20</v>
      </c>
      <c r="B5" s="99" t="s">
        <v>13</v>
      </c>
      <c r="C5" s="99" t="s">
        <v>29</v>
      </c>
      <c r="D5" s="99" t="s">
        <v>30</v>
      </c>
      <c r="E5" s="55" t="s">
        <v>22</v>
      </c>
      <c r="F5" s="45" t="s">
        <v>21</v>
      </c>
      <c r="G5" s="67" t="s">
        <v>24</v>
      </c>
      <c r="H5" s="64" t="s">
        <v>25</v>
      </c>
      <c r="I5" s="56" t="s">
        <v>22</v>
      </c>
      <c r="J5" s="45" t="s">
        <v>21</v>
      </c>
      <c r="K5" s="67" t="s">
        <v>24</v>
      </c>
      <c r="L5" s="64" t="s">
        <v>25</v>
      </c>
      <c r="M5" s="56" t="s">
        <v>22</v>
      </c>
      <c r="N5" s="45" t="s">
        <v>21</v>
      </c>
      <c r="O5" s="67" t="s">
        <v>24</v>
      </c>
      <c r="P5" s="64" t="s">
        <v>25</v>
      </c>
      <c r="Q5" s="56" t="s">
        <v>22</v>
      </c>
      <c r="R5" s="45" t="s">
        <v>21</v>
      </c>
      <c r="S5" s="67" t="s">
        <v>24</v>
      </c>
      <c r="T5" s="64" t="s">
        <v>25</v>
      </c>
      <c r="U5" s="56" t="s">
        <v>22</v>
      </c>
      <c r="V5" s="45" t="s">
        <v>21</v>
      </c>
      <c r="W5" s="67" t="s">
        <v>24</v>
      </c>
      <c r="X5" s="64" t="s">
        <v>25</v>
      </c>
      <c r="Y5" s="56" t="s">
        <v>22</v>
      </c>
      <c r="Z5" s="45" t="s">
        <v>21</v>
      </c>
      <c r="AA5" s="67" t="s">
        <v>24</v>
      </c>
      <c r="AB5" s="64" t="s">
        <v>25</v>
      </c>
      <c r="AC5" s="56" t="s">
        <v>22</v>
      </c>
      <c r="AD5" s="45" t="s">
        <v>21</v>
      </c>
      <c r="AE5" s="67" t="s">
        <v>24</v>
      </c>
      <c r="AF5" s="64" t="s">
        <v>25</v>
      </c>
      <c r="AG5" s="56" t="s">
        <v>22</v>
      </c>
      <c r="AH5" s="45" t="s">
        <v>21</v>
      </c>
      <c r="AI5" s="67" t="s">
        <v>24</v>
      </c>
      <c r="AJ5" s="64" t="s">
        <v>25</v>
      </c>
      <c r="AK5" s="56" t="s">
        <v>22</v>
      </c>
      <c r="AL5" s="45" t="s">
        <v>21</v>
      </c>
      <c r="AM5" s="67" t="s">
        <v>24</v>
      </c>
      <c r="AN5" s="64" t="s">
        <v>25</v>
      </c>
      <c r="AO5" s="56" t="s">
        <v>22</v>
      </c>
      <c r="AP5" s="45" t="s">
        <v>21</v>
      </c>
      <c r="AQ5" s="67" t="s">
        <v>24</v>
      </c>
      <c r="AR5" s="64" t="s">
        <v>25</v>
      </c>
      <c r="AS5" s="56" t="s">
        <v>22</v>
      </c>
      <c r="AT5" s="45" t="s">
        <v>21</v>
      </c>
      <c r="AU5" s="67" t="s">
        <v>24</v>
      </c>
      <c r="AV5" s="64" t="s">
        <v>25</v>
      </c>
      <c r="AW5" s="405"/>
      <c r="AX5" s="405"/>
      <c r="AY5" s="405"/>
      <c r="AZ5" s="405"/>
    </row>
    <row r="6" spans="1:52" s="10" customFormat="1" ht="16" thickTop="1">
      <c r="A6" s="77" t="s">
        <v>19</v>
      </c>
      <c r="B6" s="101">
        <v>1</v>
      </c>
      <c r="C6" s="101">
        <f t="shared" ref="C6:C17" si="0">INDEX(Stage_Temp_Table,$B6)</f>
        <v>20</v>
      </c>
      <c r="D6" s="101"/>
      <c r="E6" s="78">
        <v>0</v>
      </c>
      <c r="F6" s="79">
        <v>0</v>
      </c>
      <c r="G6" s="80">
        <v>0</v>
      </c>
      <c r="H6" s="81">
        <v>0</v>
      </c>
      <c r="I6" s="78">
        <v>0</v>
      </c>
      <c r="J6" s="79">
        <v>0</v>
      </c>
      <c r="K6" s="80">
        <v>0</v>
      </c>
      <c r="L6" s="81">
        <v>0</v>
      </c>
      <c r="M6" s="78">
        <v>0</v>
      </c>
      <c r="N6" s="79">
        <v>0</v>
      </c>
      <c r="O6" s="80">
        <v>0</v>
      </c>
      <c r="P6" s="81">
        <v>0</v>
      </c>
      <c r="Q6" s="78">
        <v>0</v>
      </c>
      <c r="R6" s="79">
        <v>0</v>
      </c>
      <c r="S6" s="80">
        <v>0</v>
      </c>
      <c r="T6" s="81">
        <v>0</v>
      </c>
      <c r="U6" s="78">
        <v>0</v>
      </c>
      <c r="V6" s="79">
        <v>0</v>
      </c>
      <c r="W6" s="80">
        <v>0</v>
      </c>
      <c r="X6" s="81">
        <v>0</v>
      </c>
      <c r="Y6" s="78">
        <v>0</v>
      </c>
      <c r="Z6" s="79">
        <v>0</v>
      </c>
      <c r="AA6" s="80">
        <v>0</v>
      </c>
      <c r="AB6" s="81">
        <v>0</v>
      </c>
      <c r="AC6" s="78">
        <v>0</v>
      </c>
      <c r="AD6" s="79">
        <v>0</v>
      </c>
      <c r="AE6" s="80">
        <v>0</v>
      </c>
      <c r="AF6" s="81">
        <v>0</v>
      </c>
      <c r="AG6" s="78">
        <v>0</v>
      </c>
      <c r="AH6" s="79">
        <v>0</v>
      </c>
      <c r="AI6" s="80">
        <v>0</v>
      </c>
      <c r="AJ6" s="81">
        <v>0</v>
      </c>
      <c r="AK6" s="78">
        <v>0</v>
      </c>
      <c r="AL6" s="79">
        <v>0</v>
      </c>
      <c r="AM6" s="80">
        <v>0</v>
      </c>
      <c r="AN6" s="81">
        <v>0</v>
      </c>
      <c r="AO6" s="78">
        <v>0</v>
      </c>
      <c r="AP6" s="79">
        <v>0</v>
      </c>
      <c r="AQ6" s="80">
        <v>0</v>
      </c>
      <c r="AR6" s="81">
        <v>0</v>
      </c>
      <c r="AS6" s="78">
        <v>0</v>
      </c>
      <c r="AT6" s="79">
        <v>0</v>
      </c>
      <c r="AU6" s="80">
        <v>0</v>
      </c>
      <c r="AV6" s="81">
        <v>0</v>
      </c>
      <c r="AW6" s="406"/>
      <c r="AX6" s="406"/>
      <c r="AY6" s="406"/>
      <c r="AZ6" s="406"/>
    </row>
    <row r="7" spans="1:52" s="10" customFormat="1" ht="15.5">
      <c r="A7" s="61" t="s">
        <v>5</v>
      </c>
      <c r="B7" s="98">
        <v>5</v>
      </c>
      <c r="C7" s="102">
        <f t="shared" si="0"/>
        <v>300</v>
      </c>
      <c r="D7" s="96"/>
      <c r="E7" s="72">
        <f>G_Lookup($A7,$E$3, E$4,$D7)</f>
        <v>-0.05</v>
      </c>
      <c r="F7" s="19">
        <f>Atten_to_Te(E7,$C7)</f>
        <v>3.4738362779695775</v>
      </c>
      <c r="G7" s="68">
        <f ca="1">E7+OFFSET(G7,-1,0)</f>
        <v>-0.05</v>
      </c>
      <c r="H7" s="65" t="e">
        <f ca="1">OFFSET(H7,-1,0)+F7*dbToAbs(-1*OFFSET(G7,-1,0))</f>
        <v>#NAME?</v>
      </c>
      <c r="I7" s="72">
        <f>G_Lookup($A7,$E$3, I$4,$D7)</f>
        <v>-0.05</v>
      </c>
      <c r="J7" s="19">
        <f>Atten_to_Te(I7,$C7)</f>
        <v>3.4738362779695775</v>
      </c>
      <c r="K7" s="68">
        <f ca="1">I7+OFFSET(K7,-1,0)</f>
        <v>-0.05</v>
      </c>
      <c r="L7" s="65" t="e">
        <f ca="1">OFFSET(L7,-1,0)+J7*dbToAbs(-1*OFFSET(K7,-1,0))</f>
        <v>#NAME?</v>
      </c>
      <c r="M7" s="72">
        <f>G_Lookup($A7,$E$3, M$4,$D7)</f>
        <v>-0.05</v>
      </c>
      <c r="N7" s="19">
        <f>Atten_to_Te(M7,$C7)</f>
        <v>3.4738362779695775</v>
      </c>
      <c r="O7" s="68">
        <f ca="1">M7+OFFSET(O7,-1,0)</f>
        <v>-0.05</v>
      </c>
      <c r="P7" s="65" t="e">
        <f ca="1">OFFSET(P7,-1,0)+N7*dbToAbs(-1*OFFSET(O7,-1,0))</f>
        <v>#NAME?</v>
      </c>
      <c r="Q7" s="72">
        <f>G_Lookup($A7,$E$3, Q$4,$D7)</f>
        <v>-0.05</v>
      </c>
      <c r="R7" s="19">
        <f>Atten_to_Te(Q7,$C7)</f>
        <v>3.4738362779695775</v>
      </c>
      <c r="S7" s="68">
        <f ca="1">Q7+OFFSET(S7,-1,0)</f>
        <v>-0.05</v>
      </c>
      <c r="T7" s="65" t="e">
        <f ca="1">OFFSET(T7,-1,0)+R7*dbToAbs(-1*OFFSET(S7,-1,0))</f>
        <v>#NAME?</v>
      </c>
      <c r="U7" s="72">
        <f>G_Lookup($A7,$E$3, U$4,$D7)</f>
        <v>-0.05</v>
      </c>
      <c r="V7" s="19">
        <f>Atten_to_Te(U7,$C7)</f>
        <v>3.4738362779695775</v>
      </c>
      <c r="W7" s="68">
        <f ca="1">U7+OFFSET(W7,-1,0)</f>
        <v>-0.05</v>
      </c>
      <c r="X7" s="65" t="e">
        <f ca="1">OFFSET(X7,-1,0)+V7*dbToAbs(-1*OFFSET(W7,-1,0))</f>
        <v>#NAME?</v>
      </c>
      <c r="Y7" s="72">
        <f>G_Lookup($A7,$E$3, Y$4,$D7)</f>
        <v>-0.05</v>
      </c>
      <c r="Z7" s="19">
        <f>Atten_to_Te(Y7,$C7)</f>
        <v>3.4738362779695775</v>
      </c>
      <c r="AA7" s="68">
        <f ca="1">Y7+OFFSET(AA7,-1,0)</f>
        <v>-0.05</v>
      </c>
      <c r="AB7" s="65" t="e">
        <f ca="1">OFFSET(AB7,-1,0)+Z7*dbToAbs(-1*OFFSET(AA7,-1,0))</f>
        <v>#NAME?</v>
      </c>
      <c r="AC7" s="72">
        <f>G_Lookup($A7,$E$3, AC$4,$D7)</f>
        <v>-0.05</v>
      </c>
      <c r="AD7" s="19">
        <f>Atten_to_Te(AC7,$C7)</f>
        <v>3.4738362779695775</v>
      </c>
      <c r="AE7" s="68">
        <f ca="1">AC7+OFFSET(AE7,-1,0)</f>
        <v>-0.05</v>
      </c>
      <c r="AF7" s="65" t="e">
        <f ca="1">OFFSET(AF7,-1,0)+AD7*dbToAbs(-1*OFFSET(AE7,-1,0))</f>
        <v>#NAME?</v>
      </c>
      <c r="AG7" s="72">
        <f>G_Lookup($A7,$E$3, AG$4,$D7)</f>
        <v>-0.05</v>
      </c>
      <c r="AH7" s="19">
        <f>Atten_to_Te(AG7,$C7)</f>
        <v>3.4738362779695775</v>
      </c>
      <c r="AI7" s="68">
        <f ca="1">AG7+OFFSET(AI7,-1,0)</f>
        <v>-0.05</v>
      </c>
      <c r="AJ7" s="65" t="e">
        <f ca="1">OFFSET(AJ7,-1,0)+AH7*dbToAbs(-1*OFFSET(AI7,-1,0))</f>
        <v>#NAME?</v>
      </c>
      <c r="AK7" s="72">
        <f>G_Lookup($A7,$E$3, AK$4,$D7)</f>
        <v>-0.05</v>
      </c>
      <c r="AL7" s="19">
        <f>Atten_to_Te(AK7,$C7)</f>
        <v>3.4738362779695775</v>
      </c>
      <c r="AM7" s="68">
        <f ca="1">AK7+OFFSET(AM7,-1,0)</f>
        <v>-0.05</v>
      </c>
      <c r="AN7" s="65" t="e">
        <f ca="1">OFFSET(AN7,-1,0)+AL7*dbToAbs(-1*OFFSET(AM7,-1,0))</f>
        <v>#NAME?</v>
      </c>
      <c r="AO7" s="72">
        <f>G_Lookup($A7,$E$3, AO$4,$D7)</f>
        <v>-0.05</v>
      </c>
      <c r="AP7" s="19">
        <f>Atten_to_Te(AO7,$C7)</f>
        <v>3.4738362779695775</v>
      </c>
      <c r="AQ7" s="68">
        <f ca="1">AO7+OFFSET(AQ7,-1,0)</f>
        <v>-0.05</v>
      </c>
      <c r="AR7" s="65" t="e">
        <f ca="1">OFFSET(AR7,-1,0)+AP7*dbToAbs(-1*OFFSET(AQ7,-1,0))</f>
        <v>#NAME?</v>
      </c>
      <c r="AS7" s="72">
        <f>G_Lookup($A7,$E$3, AS$4,$D7)</f>
        <v>-0.05</v>
      </c>
      <c r="AT7" s="19">
        <f>Atten_to_Te(AS7,$C7)</f>
        <v>3.4738362779695775</v>
      </c>
      <c r="AU7" s="68">
        <f ca="1">AS7+OFFSET(AU7,-1,0)</f>
        <v>-0.05</v>
      </c>
      <c r="AV7" s="65" t="e">
        <f ca="1">OFFSET(AV7,-1,0)+AT7*dbToAbs(-1*OFFSET(AU7,-1,0))</f>
        <v>#NAME?</v>
      </c>
      <c r="AW7" s="406"/>
      <c r="AX7" s="406"/>
      <c r="AY7" s="406"/>
      <c r="AZ7" s="406"/>
    </row>
    <row r="8" spans="1:52" s="10" customFormat="1" ht="15.5">
      <c r="A8" s="61" t="s">
        <v>6</v>
      </c>
      <c r="B8" s="98">
        <v>5</v>
      </c>
      <c r="C8" s="102">
        <f t="shared" si="0"/>
        <v>300</v>
      </c>
      <c r="D8" s="96"/>
      <c r="E8" s="72">
        <f t="shared" ref="E8:E11" si="1">G_Lookup($A8,$E$3, E$4,$D8)</f>
        <v>-0.03</v>
      </c>
      <c r="F8" s="19">
        <f t="shared" ref="F8:F12" si="2">Atten_to_Te(E8,$C8)</f>
        <v>2.0795006555412554</v>
      </c>
      <c r="G8" s="68">
        <f t="shared" ref="G8:G17" ca="1" si="3">E8+OFFSET(G8,-1,0)</f>
        <v>-0.08</v>
      </c>
      <c r="H8" s="65" t="e">
        <f ca="1">OFFSET(H8,-1,0)+F8*dbToAbs(-1*OFFSET(G8,-1,0))</f>
        <v>#NAME?</v>
      </c>
      <c r="I8" s="72">
        <f t="shared" ref="I8:I11" si="4">G_Lookup($A8,$E$3, I$4,$D8)</f>
        <v>-0.03</v>
      </c>
      <c r="J8" s="19">
        <f t="shared" ref="J8:J12" si="5">Atten_to_Te(I8,$C8)</f>
        <v>2.0795006555412554</v>
      </c>
      <c r="K8" s="68">
        <f t="shared" ref="K8:K17" ca="1" si="6">I8+OFFSET(K8,-1,0)</f>
        <v>-0.08</v>
      </c>
      <c r="L8" s="65" t="e">
        <f t="shared" ref="L8:L17" ca="1" si="7">OFFSET(L8,-1,0)+J8*dbToAbs(-1*OFFSET(K8,-1,0))</f>
        <v>#NAME?</v>
      </c>
      <c r="M8" s="72">
        <f t="shared" ref="M8:M11" si="8">G_Lookup($A8,$E$3, M$4,$D8)</f>
        <v>-0.03</v>
      </c>
      <c r="N8" s="19">
        <f t="shared" ref="N8:N12" si="9">Atten_to_Te(M8,$C8)</f>
        <v>2.0795006555412554</v>
      </c>
      <c r="O8" s="68">
        <f t="shared" ref="O8:O17" ca="1" si="10">M8+OFFSET(O8,-1,0)</f>
        <v>-0.08</v>
      </c>
      <c r="P8" s="65" t="e">
        <f t="shared" ref="P8:P17" ca="1" si="11">OFFSET(P8,-1,0)+N8*dbToAbs(-1*OFFSET(O8,-1,0))</f>
        <v>#NAME?</v>
      </c>
      <c r="Q8" s="72">
        <f t="shared" ref="Q8:Q11" si="12">G_Lookup($A8,$E$3, Q$4,$D8)</f>
        <v>-0.03</v>
      </c>
      <c r="R8" s="19">
        <f t="shared" ref="R8:R12" si="13">Atten_to_Te(Q8,$C8)</f>
        <v>2.0795006555412554</v>
      </c>
      <c r="S8" s="68">
        <f t="shared" ref="S8:S17" ca="1" si="14">Q8+OFFSET(S8,-1,0)</f>
        <v>-0.08</v>
      </c>
      <c r="T8" s="65" t="e">
        <f t="shared" ref="T8:T17" ca="1" si="15">OFFSET(T8,-1,0)+R8*dbToAbs(-1*OFFSET(S8,-1,0))</f>
        <v>#NAME?</v>
      </c>
      <c r="U8" s="72">
        <f t="shared" ref="U8:U11" si="16">G_Lookup($A8,$E$3, U$4,$D8)</f>
        <v>-0.03</v>
      </c>
      <c r="V8" s="19">
        <f t="shared" ref="V8:V12" si="17">Atten_to_Te(U8,$C8)</f>
        <v>2.0795006555412554</v>
      </c>
      <c r="W8" s="68">
        <f t="shared" ref="W8:W17" ca="1" si="18">U8+OFFSET(W8,-1,0)</f>
        <v>-0.08</v>
      </c>
      <c r="X8" s="65" t="e">
        <f t="shared" ref="X8:X17" ca="1" si="19">OFFSET(X8,-1,0)+V8*dbToAbs(-1*OFFSET(W8,-1,0))</f>
        <v>#NAME?</v>
      </c>
      <c r="Y8" s="72">
        <f t="shared" ref="Y8:Y11" si="20">G_Lookup($A8,$E$3, Y$4,$D8)</f>
        <v>-0.03</v>
      </c>
      <c r="Z8" s="19">
        <f t="shared" ref="Z8:Z12" si="21">Atten_to_Te(Y8,$C8)</f>
        <v>2.0795006555412554</v>
      </c>
      <c r="AA8" s="68">
        <f t="shared" ref="AA8:AA17" ca="1" si="22">Y8+OFFSET(AA8,-1,0)</f>
        <v>-0.08</v>
      </c>
      <c r="AB8" s="65" t="e">
        <f t="shared" ref="AB8:AB17" ca="1" si="23">OFFSET(AB8,-1,0)+Z8*dbToAbs(-1*OFFSET(AA8,-1,0))</f>
        <v>#NAME?</v>
      </c>
      <c r="AC8" s="72">
        <f t="shared" ref="AC8:AC11" si="24">G_Lookup($A8,$E$3, AC$4,$D8)</f>
        <v>-0.03</v>
      </c>
      <c r="AD8" s="19">
        <f t="shared" ref="AD8:AD12" si="25">Atten_to_Te(AC8,$C8)</f>
        <v>2.0795006555412554</v>
      </c>
      <c r="AE8" s="68">
        <f t="shared" ref="AE8:AE17" ca="1" si="26">AC8+OFFSET(AE8,-1,0)</f>
        <v>-0.08</v>
      </c>
      <c r="AF8" s="65" t="e">
        <f t="shared" ref="AF8:AF17" ca="1" si="27">OFFSET(AF8,-1,0)+AD8*dbToAbs(-1*OFFSET(AE8,-1,0))</f>
        <v>#NAME?</v>
      </c>
      <c r="AG8" s="72">
        <f t="shared" ref="AG8:AG11" si="28">G_Lookup($A8,$E$3, AG$4,$D8)</f>
        <v>-0.03</v>
      </c>
      <c r="AH8" s="19">
        <f t="shared" ref="AH8:AH12" si="29">Atten_to_Te(AG8,$C8)</f>
        <v>2.0795006555412554</v>
      </c>
      <c r="AI8" s="68">
        <f t="shared" ref="AI8:AI17" ca="1" si="30">AG8+OFFSET(AI8,-1,0)</f>
        <v>-0.08</v>
      </c>
      <c r="AJ8" s="65" t="e">
        <f t="shared" ref="AJ8:AJ17" ca="1" si="31">OFFSET(AJ8,-1,0)+AH8*dbToAbs(-1*OFFSET(AI8,-1,0))</f>
        <v>#NAME?</v>
      </c>
      <c r="AK8" s="72">
        <f t="shared" ref="AK8:AK11" si="32">G_Lookup($A8,$E$3, AK$4,$D8)</f>
        <v>-0.03</v>
      </c>
      <c r="AL8" s="19">
        <f t="shared" ref="AL8:AL12" si="33">Atten_to_Te(AK8,$C8)</f>
        <v>2.0795006555412554</v>
      </c>
      <c r="AM8" s="68">
        <f t="shared" ref="AM8:AM17" ca="1" si="34">AK8+OFFSET(AM8,-1,0)</f>
        <v>-0.08</v>
      </c>
      <c r="AN8" s="65" t="e">
        <f t="shared" ref="AN8:AN17" ca="1" si="35">OFFSET(AN8,-1,0)+AL8*dbToAbs(-1*OFFSET(AM8,-1,0))</f>
        <v>#NAME?</v>
      </c>
      <c r="AO8" s="72">
        <f t="shared" ref="AO8:AO11" si="36">G_Lookup($A8,$E$3, AO$4,$D8)</f>
        <v>-0.03</v>
      </c>
      <c r="AP8" s="19">
        <f t="shared" ref="AP8:AP12" si="37">Atten_to_Te(AO8,$C8)</f>
        <v>2.0795006555412554</v>
      </c>
      <c r="AQ8" s="68">
        <f t="shared" ref="AQ8:AQ17" ca="1" si="38">AO8+OFFSET(AQ8,-1,0)</f>
        <v>-0.08</v>
      </c>
      <c r="AR8" s="65" t="e">
        <f t="shared" ref="AR8:AR17" ca="1" si="39">OFFSET(AR8,-1,0)+AP8*dbToAbs(-1*OFFSET(AQ8,-1,0))</f>
        <v>#NAME?</v>
      </c>
      <c r="AS8" s="72">
        <f t="shared" ref="AS8:AS11" si="40">G_Lookup($A8,$E$3, AS$4,$D8)</f>
        <v>-0.03</v>
      </c>
      <c r="AT8" s="19">
        <f t="shared" ref="AT8:AT12" si="41">Atten_to_Te(AS8,$C8)</f>
        <v>2.0795006555412554</v>
      </c>
      <c r="AU8" s="68">
        <f t="shared" ref="AU8:AU17" ca="1" si="42">AS8+OFFSET(AU8,-1,0)</f>
        <v>-0.08</v>
      </c>
      <c r="AV8" s="65" t="e">
        <f t="shared" ref="AV8:AV17" ca="1" si="43">OFFSET(AV8,-1,0)+AT8*dbToAbs(-1*OFFSET(AU8,-1,0))</f>
        <v>#NAME?</v>
      </c>
      <c r="AW8" s="406"/>
      <c r="AX8" s="406"/>
      <c r="AY8" s="406"/>
      <c r="AZ8" s="406"/>
    </row>
    <row r="9" spans="1:52" s="10" customFormat="1" ht="15.5">
      <c r="A9" s="61" t="s">
        <v>8</v>
      </c>
      <c r="B9" s="98">
        <v>4</v>
      </c>
      <c r="C9" s="102">
        <f t="shared" si="0"/>
        <v>190</v>
      </c>
      <c r="D9" s="96"/>
      <c r="E9" s="72">
        <f t="shared" si="1"/>
        <v>-0.03</v>
      </c>
      <c r="F9" s="19">
        <f t="shared" si="2"/>
        <v>1.3170170818427951</v>
      </c>
      <c r="G9" s="68">
        <f t="shared" ca="1" si="3"/>
        <v>-0.11</v>
      </c>
      <c r="H9" s="65" t="e">
        <f t="shared" ref="H9:H17" ca="1" si="44">OFFSET(H9,-1,0)+F9*dbToAbs(-1*OFFSET(G9,-1,0))</f>
        <v>#NAME?</v>
      </c>
      <c r="I9" s="72">
        <f t="shared" si="4"/>
        <v>-0.03</v>
      </c>
      <c r="J9" s="19">
        <f t="shared" si="5"/>
        <v>1.3170170818427951</v>
      </c>
      <c r="K9" s="68">
        <f t="shared" ca="1" si="6"/>
        <v>-0.11</v>
      </c>
      <c r="L9" s="65" t="e">
        <f t="shared" ca="1" si="7"/>
        <v>#NAME?</v>
      </c>
      <c r="M9" s="72">
        <f t="shared" si="8"/>
        <v>-0.03</v>
      </c>
      <c r="N9" s="19">
        <f t="shared" si="9"/>
        <v>1.3170170818427951</v>
      </c>
      <c r="O9" s="68">
        <f t="shared" ca="1" si="10"/>
        <v>-0.11</v>
      </c>
      <c r="P9" s="65" t="e">
        <f t="shared" ca="1" si="11"/>
        <v>#NAME?</v>
      </c>
      <c r="Q9" s="72">
        <f t="shared" si="12"/>
        <v>-0.03</v>
      </c>
      <c r="R9" s="19">
        <f t="shared" si="13"/>
        <v>1.3170170818427951</v>
      </c>
      <c r="S9" s="68">
        <f t="shared" ca="1" si="14"/>
        <v>-0.11</v>
      </c>
      <c r="T9" s="65" t="e">
        <f t="shared" ca="1" si="15"/>
        <v>#NAME?</v>
      </c>
      <c r="U9" s="72">
        <f t="shared" si="16"/>
        <v>-0.03</v>
      </c>
      <c r="V9" s="19">
        <f t="shared" si="17"/>
        <v>1.3170170818427951</v>
      </c>
      <c r="W9" s="68">
        <f t="shared" ca="1" si="18"/>
        <v>-0.11</v>
      </c>
      <c r="X9" s="65" t="e">
        <f t="shared" ca="1" si="19"/>
        <v>#NAME?</v>
      </c>
      <c r="Y9" s="72">
        <f t="shared" si="20"/>
        <v>-0.03</v>
      </c>
      <c r="Z9" s="19">
        <f t="shared" si="21"/>
        <v>1.3170170818427951</v>
      </c>
      <c r="AA9" s="68">
        <f t="shared" ca="1" si="22"/>
        <v>-0.11</v>
      </c>
      <c r="AB9" s="65" t="e">
        <f t="shared" ca="1" si="23"/>
        <v>#NAME?</v>
      </c>
      <c r="AC9" s="72">
        <f t="shared" si="24"/>
        <v>-0.03</v>
      </c>
      <c r="AD9" s="19">
        <f t="shared" si="25"/>
        <v>1.3170170818427951</v>
      </c>
      <c r="AE9" s="68">
        <f t="shared" ca="1" si="26"/>
        <v>-0.11</v>
      </c>
      <c r="AF9" s="65" t="e">
        <f t="shared" ca="1" si="27"/>
        <v>#NAME?</v>
      </c>
      <c r="AG9" s="72">
        <f t="shared" si="28"/>
        <v>-0.03</v>
      </c>
      <c r="AH9" s="19">
        <f t="shared" si="29"/>
        <v>1.3170170818427951</v>
      </c>
      <c r="AI9" s="68">
        <f t="shared" ca="1" si="30"/>
        <v>-0.11</v>
      </c>
      <c r="AJ9" s="65" t="e">
        <f t="shared" ca="1" si="31"/>
        <v>#NAME?</v>
      </c>
      <c r="AK9" s="72">
        <f t="shared" si="32"/>
        <v>-0.03</v>
      </c>
      <c r="AL9" s="19">
        <f t="shared" si="33"/>
        <v>1.3170170818427951</v>
      </c>
      <c r="AM9" s="68">
        <f t="shared" ca="1" si="34"/>
        <v>-0.11</v>
      </c>
      <c r="AN9" s="65" t="e">
        <f t="shared" ca="1" si="35"/>
        <v>#NAME?</v>
      </c>
      <c r="AO9" s="72">
        <f t="shared" si="36"/>
        <v>-0.03</v>
      </c>
      <c r="AP9" s="19">
        <f t="shared" si="37"/>
        <v>1.3170170818427951</v>
      </c>
      <c r="AQ9" s="68">
        <f t="shared" ca="1" si="38"/>
        <v>-0.11</v>
      </c>
      <c r="AR9" s="65" t="e">
        <f t="shared" ca="1" si="39"/>
        <v>#NAME?</v>
      </c>
      <c r="AS9" s="72">
        <f t="shared" si="40"/>
        <v>-0.03</v>
      </c>
      <c r="AT9" s="19">
        <f t="shared" si="41"/>
        <v>1.3170170818427951</v>
      </c>
      <c r="AU9" s="68">
        <f t="shared" ca="1" si="42"/>
        <v>-0.11</v>
      </c>
      <c r="AV9" s="65" t="e">
        <f t="shared" ca="1" si="43"/>
        <v>#NAME?</v>
      </c>
      <c r="AW9" s="406"/>
      <c r="AX9" s="406"/>
      <c r="AY9" s="406"/>
      <c r="AZ9" s="406"/>
    </row>
    <row r="10" spans="1:52" s="10" customFormat="1" ht="15.5">
      <c r="A10" s="61" t="s">
        <v>9</v>
      </c>
      <c r="B10" s="98">
        <v>1</v>
      </c>
      <c r="C10" s="102">
        <f t="shared" si="0"/>
        <v>20</v>
      </c>
      <c r="D10" s="96"/>
      <c r="E10" s="72">
        <f t="shared" si="1"/>
        <v>-0.05</v>
      </c>
      <c r="F10" s="19">
        <f t="shared" si="2"/>
        <v>0.23158908519797183</v>
      </c>
      <c r="G10" s="68">
        <f t="shared" ca="1" si="3"/>
        <v>-0.16</v>
      </c>
      <c r="H10" s="65" t="e">
        <f t="shared" ca="1" si="44"/>
        <v>#NAME?</v>
      </c>
      <c r="I10" s="72">
        <f t="shared" si="4"/>
        <v>-0.05</v>
      </c>
      <c r="J10" s="19">
        <f t="shared" si="5"/>
        <v>0.23158908519797183</v>
      </c>
      <c r="K10" s="68">
        <f t="shared" ca="1" si="6"/>
        <v>-0.16</v>
      </c>
      <c r="L10" s="65" t="e">
        <f t="shared" ca="1" si="7"/>
        <v>#NAME?</v>
      </c>
      <c r="M10" s="72">
        <f t="shared" si="8"/>
        <v>-0.05</v>
      </c>
      <c r="N10" s="19">
        <f t="shared" si="9"/>
        <v>0.23158908519797183</v>
      </c>
      <c r="O10" s="68">
        <f t="shared" ca="1" si="10"/>
        <v>-0.16</v>
      </c>
      <c r="P10" s="65" t="e">
        <f t="shared" ca="1" si="11"/>
        <v>#NAME?</v>
      </c>
      <c r="Q10" s="72">
        <f t="shared" si="12"/>
        <v>-0.05</v>
      </c>
      <c r="R10" s="19">
        <f t="shared" si="13"/>
        <v>0.23158908519797183</v>
      </c>
      <c r="S10" s="68">
        <f t="shared" ca="1" si="14"/>
        <v>-0.16</v>
      </c>
      <c r="T10" s="65" t="e">
        <f t="shared" ca="1" si="15"/>
        <v>#NAME?</v>
      </c>
      <c r="U10" s="72">
        <f t="shared" si="16"/>
        <v>-0.05</v>
      </c>
      <c r="V10" s="19">
        <f t="shared" si="17"/>
        <v>0.23158908519797183</v>
      </c>
      <c r="W10" s="68">
        <f t="shared" ca="1" si="18"/>
        <v>-0.16</v>
      </c>
      <c r="X10" s="65" t="e">
        <f t="shared" ca="1" si="19"/>
        <v>#NAME?</v>
      </c>
      <c r="Y10" s="72">
        <f t="shared" si="20"/>
        <v>-0.05</v>
      </c>
      <c r="Z10" s="19">
        <f t="shared" si="21"/>
        <v>0.23158908519797183</v>
      </c>
      <c r="AA10" s="68">
        <f t="shared" ca="1" si="22"/>
        <v>-0.16</v>
      </c>
      <c r="AB10" s="65" t="e">
        <f t="shared" ca="1" si="23"/>
        <v>#NAME?</v>
      </c>
      <c r="AC10" s="72">
        <f t="shared" si="24"/>
        <v>-0.05</v>
      </c>
      <c r="AD10" s="19">
        <f t="shared" si="25"/>
        <v>0.23158908519797183</v>
      </c>
      <c r="AE10" s="68">
        <f t="shared" ca="1" si="26"/>
        <v>-0.16</v>
      </c>
      <c r="AF10" s="65" t="e">
        <f t="shared" ca="1" si="27"/>
        <v>#NAME?</v>
      </c>
      <c r="AG10" s="72">
        <f t="shared" si="28"/>
        <v>-0.05</v>
      </c>
      <c r="AH10" s="19">
        <f t="shared" si="29"/>
        <v>0.23158908519797183</v>
      </c>
      <c r="AI10" s="68">
        <f t="shared" ca="1" si="30"/>
        <v>-0.16</v>
      </c>
      <c r="AJ10" s="65" t="e">
        <f t="shared" ca="1" si="31"/>
        <v>#NAME?</v>
      </c>
      <c r="AK10" s="72">
        <f t="shared" si="32"/>
        <v>-0.05</v>
      </c>
      <c r="AL10" s="19">
        <f t="shared" si="33"/>
        <v>0.23158908519797183</v>
      </c>
      <c r="AM10" s="68">
        <f t="shared" ca="1" si="34"/>
        <v>-0.16</v>
      </c>
      <c r="AN10" s="65" t="e">
        <f t="shared" ca="1" si="35"/>
        <v>#NAME?</v>
      </c>
      <c r="AO10" s="72">
        <f t="shared" si="36"/>
        <v>-0.05</v>
      </c>
      <c r="AP10" s="19">
        <f t="shared" si="37"/>
        <v>0.23158908519797183</v>
      </c>
      <c r="AQ10" s="68">
        <f t="shared" ca="1" si="38"/>
        <v>-0.16</v>
      </c>
      <c r="AR10" s="65" t="e">
        <f t="shared" ca="1" si="39"/>
        <v>#NAME?</v>
      </c>
      <c r="AS10" s="72">
        <f t="shared" si="40"/>
        <v>-0.05</v>
      </c>
      <c r="AT10" s="19">
        <f t="shared" si="41"/>
        <v>0.23158908519797183</v>
      </c>
      <c r="AU10" s="68">
        <f t="shared" ca="1" si="42"/>
        <v>-0.16</v>
      </c>
      <c r="AV10" s="65" t="e">
        <f t="shared" ca="1" si="43"/>
        <v>#NAME?</v>
      </c>
      <c r="AW10" s="406"/>
      <c r="AX10" s="406"/>
      <c r="AY10" s="406"/>
      <c r="AZ10" s="406"/>
    </row>
    <row r="11" spans="1:52" s="76" customFormat="1" ht="15.5">
      <c r="A11" s="73" t="s">
        <v>108</v>
      </c>
      <c r="B11" s="98">
        <v>1</v>
      </c>
      <c r="C11" s="102">
        <f t="shared" si="0"/>
        <v>20</v>
      </c>
      <c r="D11" s="103"/>
      <c r="E11" s="72">
        <f t="shared" si="1"/>
        <v>-0.17126064020827875</v>
      </c>
      <c r="F11" s="19">
        <f t="shared" si="2"/>
        <v>0.80444141062324892</v>
      </c>
      <c r="G11" s="74">
        <f t="shared" ca="1" si="3"/>
        <v>-0.33126064020827872</v>
      </c>
      <c r="H11" s="75" t="e">
        <f t="shared" ca="1" si="44"/>
        <v>#NAME?</v>
      </c>
      <c r="I11" s="72">
        <f t="shared" si="4"/>
        <v>-0.14889345903291787</v>
      </c>
      <c r="J11" s="19">
        <f t="shared" si="5"/>
        <v>0.69756911826833523</v>
      </c>
      <c r="K11" s="74">
        <f t="shared" ca="1" si="6"/>
        <v>-0.30889345903291787</v>
      </c>
      <c r="L11" s="75" t="e">
        <f t="shared" ca="1" si="7"/>
        <v>#NAME?</v>
      </c>
      <c r="M11" s="72">
        <f t="shared" si="8"/>
        <v>-0.13376527721210613</v>
      </c>
      <c r="N11" s="19">
        <f t="shared" si="9"/>
        <v>0.62559678599898749</v>
      </c>
      <c r="O11" s="74">
        <f t="shared" ca="1" si="10"/>
        <v>-0.2937652772121061</v>
      </c>
      <c r="P11" s="75" t="e">
        <f t="shared" ca="1" si="11"/>
        <v>#NAME?</v>
      </c>
      <c r="Q11" s="72">
        <f t="shared" si="12"/>
        <v>-0.1229045004949321</v>
      </c>
      <c r="R11" s="19">
        <f t="shared" si="13"/>
        <v>0.57408101882898244</v>
      </c>
      <c r="S11" s="74">
        <f t="shared" ca="1" si="14"/>
        <v>-0.2829045004949321</v>
      </c>
      <c r="T11" s="75" t="e">
        <f t="shared" ca="1" si="15"/>
        <v>#NAME?</v>
      </c>
      <c r="U11" s="72">
        <f t="shared" si="16"/>
        <v>-0.11525171999104117</v>
      </c>
      <c r="V11" s="19">
        <f t="shared" si="17"/>
        <v>0.53785898692970679</v>
      </c>
      <c r="W11" s="74">
        <f t="shared" ca="1" si="18"/>
        <v>-0.27525171999104114</v>
      </c>
      <c r="X11" s="75" t="e">
        <f t="shared" ca="1" si="19"/>
        <v>#NAME?</v>
      </c>
      <c r="Y11" s="72">
        <f t="shared" si="20"/>
        <v>-0.10927134537774044</v>
      </c>
      <c r="Z11" s="19">
        <f t="shared" si="21"/>
        <v>0.50959715813503781</v>
      </c>
      <c r="AA11" s="74">
        <f t="shared" ca="1" si="22"/>
        <v>-0.26927134537774045</v>
      </c>
      <c r="AB11" s="75" t="e">
        <f t="shared" ca="1" si="23"/>
        <v>#NAME?</v>
      </c>
      <c r="AC11" s="72">
        <f t="shared" si="24"/>
        <v>-0.10472307066662696</v>
      </c>
      <c r="AD11" s="19">
        <f t="shared" si="25"/>
        <v>0.48812913212664455</v>
      </c>
      <c r="AE11" s="74">
        <f t="shared" ca="1" si="26"/>
        <v>-0.26472307066662698</v>
      </c>
      <c r="AF11" s="75" t="e">
        <f t="shared" ca="1" si="27"/>
        <v>#NAME?</v>
      </c>
      <c r="AG11" s="72">
        <f t="shared" si="28"/>
        <v>-0.10131125267299283</v>
      </c>
      <c r="AH11" s="19">
        <f t="shared" si="29"/>
        <v>0.47203997596404701</v>
      </c>
      <c r="AI11" s="74">
        <f t="shared" ca="1" si="30"/>
        <v>-0.26131125267299282</v>
      </c>
      <c r="AJ11" s="75" t="e">
        <f t="shared" ca="1" si="31"/>
        <v>#NAME?</v>
      </c>
      <c r="AK11" s="72">
        <f t="shared" si="32"/>
        <v>-9.8244956351318649E-2</v>
      </c>
      <c r="AL11" s="19">
        <f t="shared" si="33"/>
        <v>0.45759098146051169</v>
      </c>
      <c r="AM11" s="74">
        <f t="shared" ca="1" si="34"/>
        <v>-0.25824495635131867</v>
      </c>
      <c r="AN11" s="75" t="e">
        <f t="shared" ca="1" si="35"/>
        <v>#NAME?</v>
      </c>
      <c r="AO11" s="72">
        <f t="shared" si="36"/>
        <v>-9.6090780314321195E-2</v>
      </c>
      <c r="AP11" s="19">
        <f t="shared" si="37"/>
        <v>0.44744617733507575</v>
      </c>
      <c r="AQ11" s="74">
        <f t="shared" ca="1" si="38"/>
        <v>-0.2560907803143212</v>
      </c>
      <c r="AR11" s="75" t="e">
        <f t="shared" ca="1" si="39"/>
        <v>#NAME?</v>
      </c>
      <c r="AS11" s="72">
        <f t="shared" si="40"/>
        <v>-9.4443478325050803E-2</v>
      </c>
      <c r="AT11" s="19">
        <f t="shared" si="41"/>
        <v>0.43969182334680834</v>
      </c>
      <c r="AU11" s="74">
        <f t="shared" ca="1" si="42"/>
        <v>-0.25444347832505082</v>
      </c>
      <c r="AV11" s="75" t="e">
        <f t="shared" ca="1" si="43"/>
        <v>#NAME?</v>
      </c>
      <c r="AW11" s="406"/>
      <c r="AX11" s="406"/>
      <c r="AY11" s="406"/>
      <c r="AZ11" s="406"/>
    </row>
    <row r="12" spans="1:52" s="10" customFormat="1" ht="15.5">
      <c r="A12" s="61" t="s">
        <v>292</v>
      </c>
      <c r="B12" s="98">
        <v>1</v>
      </c>
      <c r="C12" s="102">
        <f t="shared" si="0"/>
        <v>20</v>
      </c>
      <c r="D12" s="96"/>
      <c r="E12" s="72">
        <f t="shared" ref="E12:E17" si="45">G_Lookup($A12,$E$3, E$4,$D12)</f>
        <v>-7.0000000000000007E-2</v>
      </c>
      <c r="F12" s="19">
        <f t="shared" si="2"/>
        <v>0.32497385741391049</v>
      </c>
      <c r="G12" s="68">
        <f t="shared" ca="1" si="3"/>
        <v>-0.40126064020827873</v>
      </c>
      <c r="H12" s="65" t="e">
        <f t="shared" ca="1" si="44"/>
        <v>#NAME?</v>
      </c>
      <c r="I12" s="72">
        <f t="shared" ref="I12:I17" si="46">G_Lookup($A12,$E$3, I$4,$D12)</f>
        <v>-0.06</v>
      </c>
      <c r="J12" s="19">
        <f t="shared" si="5"/>
        <v>0.27822771473358987</v>
      </c>
      <c r="K12" s="68">
        <f t="shared" ca="1" si="6"/>
        <v>-0.36889345903291787</v>
      </c>
      <c r="L12" s="65" t="e">
        <f t="shared" ca="1" si="7"/>
        <v>#NAME?</v>
      </c>
      <c r="M12" s="72">
        <f t="shared" ref="M12:M17" si="47">G_Lookup($A12,$E$3, M$4,$D12)</f>
        <v>-0.06</v>
      </c>
      <c r="N12" s="19">
        <f t="shared" si="9"/>
        <v>0.27822771473358987</v>
      </c>
      <c r="O12" s="68">
        <f t="shared" ca="1" si="10"/>
        <v>-0.3537652772121061</v>
      </c>
      <c r="P12" s="65" t="e">
        <f t="shared" ca="1" si="11"/>
        <v>#NAME?</v>
      </c>
      <c r="Q12" s="72">
        <f t="shared" ref="Q12:Q17" si="48">G_Lookup($A12,$E$3, Q$4,$D12)</f>
        <v>-0.05</v>
      </c>
      <c r="R12" s="19">
        <f t="shared" si="13"/>
        <v>0.23158908519797183</v>
      </c>
      <c r="S12" s="68">
        <f t="shared" ca="1" si="14"/>
        <v>-0.33290450049493209</v>
      </c>
      <c r="T12" s="65" t="e">
        <f t="shared" ca="1" si="15"/>
        <v>#NAME?</v>
      </c>
      <c r="U12" s="72">
        <f t="shared" ref="U12:U17" si="49">G_Lookup($A12,$E$3, U$4,$D12)</f>
        <v>-0.05</v>
      </c>
      <c r="V12" s="19">
        <f t="shared" si="17"/>
        <v>0.23158908519797183</v>
      </c>
      <c r="W12" s="68">
        <f t="shared" ca="1" si="18"/>
        <v>-0.32525171999104113</v>
      </c>
      <c r="X12" s="65" t="e">
        <f t="shared" ca="1" si="19"/>
        <v>#NAME?</v>
      </c>
      <c r="Y12" s="72">
        <f t="shared" ref="Y12:Y17" si="50">G_Lookup($A12,$E$3, Y$4,$D12)</f>
        <v>-0.05</v>
      </c>
      <c r="Z12" s="19">
        <f t="shared" si="21"/>
        <v>0.23158908519797183</v>
      </c>
      <c r="AA12" s="68">
        <f t="shared" ca="1" si="22"/>
        <v>-0.31927134537774043</v>
      </c>
      <c r="AB12" s="65" t="e">
        <f t="shared" ca="1" si="23"/>
        <v>#NAME?</v>
      </c>
      <c r="AC12" s="72">
        <f t="shared" ref="AC12:AC17" si="51">G_Lookup($A12,$E$3, AC$4,$D12)</f>
        <v>-0.05</v>
      </c>
      <c r="AD12" s="19">
        <f t="shared" si="25"/>
        <v>0.23158908519797183</v>
      </c>
      <c r="AE12" s="68">
        <f t="shared" ca="1" si="26"/>
        <v>-0.31472307066662697</v>
      </c>
      <c r="AF12" s="65" t="e">
        <f t="shared" ca="1" si="27"/>
        <v>#NAME?</v>
      </c>
      <c r="AG12" s="72">
        <f t="shared" ref="AG12:AG17" si="52">G_Lookup($A12,$E$3, AG$4,$D12)</f>
        <v>-0.05</v>
      </c>
      <c r="AH12" s="19">
        <f t="shared" si="29"/>
        <v>0.23158908519797183</v>
      </c>
      <c r="AI12" s="68">
        <f t="shared" ca="1" si="30"/>
        <v>-0.31131125267299281</v>
      </c>
      <c r="AJ12" s="65" t="e">
        <f t="shared" ca="1" si="31"/>
        <v>#NAME?</v>
      </c>
      <c r="AK12" s="72">
        <f t="shared" ref="AK12:AK17" si="53">G_Lookup($A12,$E$3, AK$4,$D12)</f>
        <v>-0.05</v>
      </c>
      <c r="AL12" s="19">
        <f t="shared" si="33"/>
        <v>0.23158908519797183</v>
      </c>
      <c r="AM12" s="68">
        <f t="shared" ca="1" si="34"/>
        <v>-0.30824495635131866</v>
      </c>
      <c r="AN12" s="65" t="e">
        <f t="shared" ca="1" si="35"/>
        <v>#NAME?</v>
      </c>
      <c r="AO12" s="72">
        <f t="shared" ref="AO12:AO17" si="54">G_Lookup($A12,$E$3, AO$4,$D12)</f>
        <v>-0.05</v>
      </c>
      <c r="AP12" s="19">
        <f t="shared" si="37"/>
        <v>0.23158908519797183</v>
      </c>
      <c r="AQ12" s="68">
        <f t="shared" ca="1" si="38"/>
        <v>-0.30609078031432119</v>
      </c>
      <c r="AR12" s="65" t="e">
        <f t="shared" ca="1" si="39"/>
        <v>#NAME?</v>
      </c>
      <c r="AS12" s="72">
        <f t="shared" ref="AS12:AS17" si="55">G_Lookup($A12,$E$3, AS$4,$D12)</f>
        <v>-0.05</v>
      </c>
      <c r="AT12" s="19">
        <f t="shared" si="41"/>
        <v>0.23158908519797183</v>
      </c>
      <c r="AU12" s="68">
        <f t="shared" ca="1" si="42"/>
        <v>-0.30444347832505081</v>
      </c>
      <c r="AV12" s="65" t="e">
        <f t="shared" ca="1" si="43"/>
        <v>#NAME?</v>
      </c>
      <c r="AW12" s="406"/>
      <c r="AX12" s="406"/>
      <c r="AY12" s="406"/>
      <c r="AZ12" s="406"/>
    </row>
    <row r="13" spans="1:52" s="17" customFormat="1" ht="15.5">
      <c r="A13" s="63" t="s">
        <v>168</v>
      </c>
      <c r="B13" s="98">
        <v>4</v>
      </c>
      <c r="C13" s="102">
        <f>INDEX(Stage_Temp_Table,$B13)</f>
        <v>190</v>
      </c>
      <c r="D13" s="97"/>
      <c r="E13" s="113">
        <f t="shared" si="45"/>
        <v>0</v>
      </c>
      <c r="F13" s="115">
        <f>T_LNA($A13,E$4,$C13)</f>
        <v>9.5225574389181777E-2</v>
      </c>
      <c r="G13" s="68">
        <f t="shared" ref="G13" ca="1" si="56">E13+OFFSET(G13,-1,0)</f>
        <v>-0.40126064020827873</v>
      </c>
      <c r="H13" s="65" t="e">
        <f t="shared" ref="H13" ca="1" si="57">OFFSET(H13,-1,0)+F13*dbToAbs(-1*OFFSET(G13,-1,0))</f>
        <v>#NAME?</v>
      </c>
      <c r="I13" s="113">
        <f t="shared" si="46"/>
        <v>0</v>
      </c>
      <c r="J13" s="115">
        <f>T_LNA($A13,I$4,$C13)</f>
        <v>0.11715305035368163</v>
      </c>
      <c r="K13" s="68">
        <f t="shared" ref="K13" ca="1" si="58">I13+OFFSET(K13,-1,0)</f>
        <v>-0.36889345903291787</v>
      </c>
      <c r="L13" s="65" t="e">
        <f t="shared" ref="L13" ca="1" si="59">OFFSET(L13,-1,0)+J13*dbToAbs(-1*OFFSET(K13,-1,0))</f>
        <v>#NAME?</v>
      </c>
      <c r="M13" s="113">
        <f t="shared" si="47"/>
        <v>0</v>
      </c>
      <c r="N13" s="115">
        <f>T_LNA($A13,M$4,$C13)</f>
        <v>0.1441297392555449</v>
      </c>
      <c r="O13" s="68">
        <f t="shared" ca="1" si="10"/>
        <v>-0.3537652772121061</v>
      </c>
      <c r="P13" s="65" t="e">
        <f t="shared" ca="1" si="11"/>
        <v>#NAME?</v>
      </c>
      <c r="Q13" s="113">
        <f t="shared" si="48"/>
        <v>0</v>
      </c>
      <c r="R13" s="115">
        <f>T_LNA($A13,Q$4,$C13)</f>
        <v>0.16933767824541174</v>
      </c>
      <c r="S13" s="68">
        <f t="shared" ref="S13" ca="1" si="60">Q13+OFFSET(S13,-1,0)</f>
        <v>-0.33290450049493209</v>
      </c>
      <c r="T13" s="65" t="e">
        <f t="shared" ref="T13" ca="1" si="61">OFFSET(T13,-1,0)+R13*dbToAbs(-1*OFFSET(S13,-1,0))</f>
        <v>#NAME?</v>
      </c>
      <c r="U13" s="113">
        <f t="shared" si="49"/>
        <v>0</v>
      </c>
      <c r="V13" s="115">
        <f>T_LNA($A13,U$4,$C13)</f>
        <v>0.18567507198160393</v>
      </c>
      <c r="W13" s="68">
        <f t="shared" ref="W13" ca="1" si="62">U13+OFFSET(W13,-1,0)</f>
        <v>-0.32525171999104113</v>
      </c>
      <c r="X13" s="65" t="e">
        <f t="shared" ref="X13" ca="1" si="63">OFFSET(X13,-1,0)+V13*dbToAbs(-1*OFFSET(W13,-1,0))</f>
        <v>#NAME?</v>
      </c>
      <c r="Y13" s="113">
        <f t="shared" si="50"/>
        <v>0</v>
      </c>
      <c r="Z13" s="115">
        <f>T_LNA($A13,Y$4,$C13)</f>
        <v>0.19895442412967093</v>
      </c>
      <c r="AA13" s="68">
        <f t="shared" ref="AA13" ca="1" si="64">Y13+OFFSET(AA13,-1,0)</f>
        <v>-0.31927134537774043</v>
      </c>
      <c r="AB13" s="65" t="e">
        <f t="shared" ref="AB13" ca="1" si="65">OFFSET(AB13,-1,0)+Z13*dbToAbs(-1*OFFSET(AA13,-1,0))</f>
        <v>#NAME?</v>
      </c>
      <c r="AC13" s="113">
        <f t="shared" si="51"/>
        <v>0</v>
      </c>
      <c r="AD13" s="115">
        <f>T_LNA($A13,AC$4,$C13)</f>
        <v>0.20358866799514533</v>
      </c>
      <c r="AE13" s="68">
        <f t="shared" ref="AE13" ca="1" si="66">AC13+OFFSET(AE13,-1,0)</f>
        <v>-0.31472307066662697</v>
      </c>
      <c r="AF13" s="65" t="e">
        <f t="shared" ref="AF13" ca="1" si="67">OFFSET(AF13,-1,0)+AD13*dbToAbs(-1*OFFSET(AE13,-1,0))</f>
        <v>#NAME?</v>
      </c>
      <c r="AG13" s="113">
        <f t="shared" si="52"/>
        <v>0</v>
      </c>
      <c r="AH13" s="115">
        <f>T_LNA($A13,AG$4,$C13)</f>
        <v>0.20358866799514533</v>
      </c>
      <c r="AI13" s="68">
        <f t="shared" ref="AI13" ca="1" si="68">AG13+OFFSET(AI13,-1,0)</f>
        <v>-0.31131125267299281</v>
      </c>
      <c r="AJ13" s="65" t="e">
        <f t="shared" ref="AJ13" ca="1" si="69">OFFSET(AJ13,-1,0)+AH13*dbToAbs(-1*OFFSET(AI13,-1,0))</f>
        <v>#NAME?</v>
      </c>
      <c r="AK13" s="113">
        <f t="shared" si="53"/>
        <v>0</v>
      </c>
      <c r="AL13" s="115">
        <f>T_LNA($A13,AK$4,$C13)</f>
        <v>0.19</v>
      </c>
      <c r="AM13" s="68">
        <f t="shared" ref="AM13" ca="1" si="70">AK13+OFFSET(AM13,-1,0)</f>
        <v>-0.30824495635131866</v>
      </c>
      <c r="AN13" s="65" t="e">
        <f t="shared" ref="AN13" ca="1" si="71">OFFSET(AN13,-1,0)+AL13*dbToAbs(-1*OFFSET(AM13,-1,0))</f>
        <v>#NAME?</v>
      </c>
      <c r="AO13" s="113">
        <f t="shared" si="54"/>
        <v>0</v>
      </c>
      <c r="AP13" s="115">
        <f>T_LNA($A13,AO$4,$C13)</f>
        <v>0.17731831715142821</v>
      </c>
      <c r="AQ13" s="68">
        <f t="shared" ref="AQ13" ca="1" si="72">AO13+OFFSET(AQ13,-1,0)</f>
        <v>-0.30609078031432119</v>
      </c>
      <c r="AR13" s="65" t="e">
        <f t="shared" ref="AR13" ca="1" si="73">OFFSET(AR13,-1,0)+AP13*dbToAbs(-1*OFFSET(AQ13,-1,0))</f>
        <v>#NAME?</v>
      </c>
      <c r="AS13" s="113">
        <f t="shared" si="55"/>
        <v>0</v>
      </c>
      <c r="AT13" s="115">
        <f>T_LNA($A13,AS$4,$C13)</f>
        <v>0.1654830820916553</v>
      </c>
      <c r="AU13" s="68">
        <f t="shared" ref="AU13" ca="1" si="74">AS13+OFFSET(AU13,-1,0)</f>
        <v>-0.30444347832505081</v>
      </c>
      <c r="AV13" s="65" t="e">
        <f t="shared" ref="AV13" ca="1" si="75">OFFSET(AV13,-1,0)+AT13*dbToAbs(-1*OFFSET(AU13,-1,0))</f>
        <v>#NAME?</v>
      </c>
      <c r="AW13" s="408"/>
      <c r="AX13" s="407"/>
      <c r="AY13" s="408"/>
      <c r="AZ13" s="408"/>
    </row>
    <row r="14" spans="1:52" s="10" customFormat="1" ht="15.5">
      <c r="A14" s="61" t="s">
        <v>80</v>
      </c>
      <c r="B14" s="98">
        <v>1</v>
      </c>
      <c r="C14" s="102">
        <f t="shared" si="0"/>
        <v>20</v>
      </c>
      <c r="D14" s="96">
        <v>0.05</v>
      </c>
      <c r="E14" s="72">
        <f t="shared" si="45"/>
        <v>-7.6455642950124442E-2</v>
      </c>
      <c r="F14" s="19">
        <f>Atten_to_Te(E14,$C14)</f>
        <v>0.35520872067570153</v>
      </c>
      <c r="G14" s="74">
        <f t="shared" ca="1" si="3"/>
        <v>-0.4777162831584032</v>
      </c>
      <c r="H14" s="75" t="e">
        <f t="shared" ca="1" si="44"/>
        <v>#NAME?</v>
      </c>
      <c r="I14" s="72">
        <f t="shared" si="46"/>
        <v>-6.6470294211124034E-2</v>
      </c>
      <c r="J14" s="19">
        <f>Atten_to_Te(I14,$C14)</f>
        <v>0.30846155179327539</v>
      </c>
      <c r="K14" s="74">
        <f t="shared" ca="1" si="6"/>
        <v>-0.43536375324404192</v>
      </c>
      <c r="L14" s="75" t="e">
        <f t="shared" ca="1" si="7"/>
        <v>#NAME?</v>
      </c>
      <c r="M14" s="72">
        <f t="shared" si="47"/>
        <v>-5.9716641612547375E-2</v>
      </c>
      <c r="N14" s="19">
        <f>Atten_to_Te(M14,$C14)</f>
        <v>0.2769046911405848</v>
      </c>
      <c r="O14" s="74">
        <f t="shared" ca="1" si="10"/>
        <v>-0.41348191882465346</v>
      </c>
      <c r="P14" s="75" t="e">
        <f t="shared" ca="1" si="11"/>
        <v>#NAME?</v>
      </c>
      <c r="Q14" s="72">
        <f t="shared" si="48"/>
        <v>-5.4868080578094669E-2</v>
      </c>
      <c r="R14" s="19">
        <f>Atten_to_Te(Q14,$C14)</f>
        <v>0.2542797316661094</v>
      </c>
      <c r="S14" s="74">
        <f t="shared" ca="1" si="14"/>
        <v>-0.38777258107302676</v>
      </c>
      <c r="T14" s="75" t="e">
        <f t="shared" ca="1" si="15"/>
        <v>#NAME?</v>
      </c>
      <c r="U14" s="72">
        <f t="shared" si="49"/>
        <v>-5.1451660710286229E-2</v>
      </c>
      <c r="V14" s="19">
        <f>Atten_to_Te(U14,$C14)</f>
        <v>0.23835277048992243</v>
      </c>
      <c r="W14" s="74">
        <f t="shared" ca="1" si="18"/>
        <v>-0.37670338070132736</v>
      </c>
      <c r="X14" s="75" t="e">
        <f t="shared" ca="1" si="19"/>
        <v>#NAME?</v>
      </c>
      <c r="Y14" s="72">
        <f t="shared" si="50"/>
        <v>-4.8781850615062697E-2</v>
      </c>
      <c r="Z14" s="19">
        <f>Atten_to_Te(Y14,$C14)</f>
        <v>0.22591513749480541</v>
      </c>
      <c r="AA14" s="74">
        <f t="shared" ca="1" si="22"/>
        <v>-0.36805319599280312</v>
      </c>
      <c r="AB14" s="75" t="e">
        <f t="shared" ca="1" si="23"/>
        <v>#NAME?</v>
      </c>
      <c r="AC14" s="72">
        <f t="shared" si="51"/>
        <v>-4.6751370833315604E-2</v>
      </c>
      <c r="AD14" s="19">
        <f>Atten_to_Te(AC14,$C14)</f>
        <v>0.21646101948979535</v>
      </c>
      <c r="AE14" s="74">
        <f t="shared" ca="1" si="26"/>
        <v>-0.36147444149994257</v>
      </c>
      <c r="AF14" s="75" t="e">
        <f t="shared" ca="1" si="27"/>
        <v>#NAME?</v>
      </c>
      <c r="AG14" s="72">
        <f t="shared" si="52"/>
        <v>-4.5228237800443223E-2</v>
      </c>
      <c r="AH14" s="19">
        <f>Atten_to_Te(AG14,$C14)</f>
        <v>0.20937205984615126</v>
      </c>
      <c r="AI14" s="74">
        <f t="shared" ca="1" si="30"/>
        <v>-0.35653949047343603</v>
      </c>
      <c r="AJ14" s="75" t="e">
        <f t="shared" ca="1" si="31"/>
        <v>#NAME?</v>
      </c>
      <c r="AK14" s="72">
        <f t="shared" si="53"/>
        <v>-4.3859355513981541E-2</v>
      </c>
      <c r="AL14" s="19">
        <f>Atten_to_Te(AK14,$C14)</f>
        <v>0.20300313433543327</v>
      </c>
      <c r="AM14" s="74">
        <f t="shared" ca="1" si="34"/>
        <v>-0.35210431186530022</v>
      </c>
      <c r="AN14" s="75" t="e">
        <f t="shared" ca="1" si="35"/>
        <v>#NAME?</v>
      </c>
      <c r="AO14" s="72">
        <f t="shared" si="54"/>
        <v>-4.2897669783179104E-2</v>
      </c>
      <c r="AP14" s="19">
        <f>Atten_to_Te(AO14,$C14)</f>
        <v>0.19852995089299608</v>
      </c>
      <c r="AQ14" s="74">
        <f t="shared" ca="1" si="38"/>
        <v>-0.34898845009750029</v>
      </c>
      <c r="AR14" s="75" t="e">
        <f t="shared" ca="1" si="39"/>
        <v>#NAME?</v>
      </c>
      <c r="AS14" s="72">
        <f t="shared" si="55"/>
        <v>-4.2162267109397682E-2</v>
      </c>
      <c r="AT14" s="19">
        <f>Atten_to_Te(AS14,$C14)</f>
        <v>0.19510996837338812</v>
      </c>
      <c r="AU14" s="74">
        <f t="shared" ca="1" si="42"/>
        <v>-0.3466057454344485</v>
      </c>
      <c r="AV14" s="75" t="e">
        <f t="shared" ca="1" si="43"/>
        <v>#NAME?</v>
      </c>
      <c r="AW14" s="406"/>
      <c r="AX14" s="406"/>
      <c r="AY14" s="406"/>
      <c r="AZ14" s="406"/>
    </row>
    <row r="15" spans="1:52" s="17" customFormat="1" ht="15.5">
      <c r="A15" s="63" t="s">
        <v>57</v>
      </c>
      <c r="B15" s="98">
        <v>1</v>
      </c>
      <c r="C15" s="102">
        <f t="shared" si="0"/>
        <v>20</v>
      </c>
      <c r="D15" s="97"/>
      <c r="E15" s="113">
        <f t="shared" si="45"/>
        <v>34.5</v>
      </c>
      <c r="F15" s="115">
        <f>T_LNA($A15,E$4)</f>
        <v>8.5879999999999992</v>
      </c>
      <c r="G15" s="68">
        <f t="shared" ca="1" si="3"/>
        <v>34.022283716841599</v>
      </c>
      <c r="H15" s="65" t="e">
        <f t="shared" ca="1" si="44"/>
        <v>#NAME?</v>
      </c>
      <c r="I15" s="113">
        <f t="shared" si="46"/>
        <v>34.799999999999997</v>
      </c>
      <c r="J15" s="115">
        <f>T_LNA($A15,I$4)</f>
        <v>8.1359999999999992</v>
      </c>
      <c r="K15" s="68">
        <f t="shared" ca="1" si="6"/>
        <v>34.364636246755957</v>
      </c>
      <c r="L15" s="65" t="e">
        <f t="shared" ca="1" si="7"/>
        <v>#NAME?</v>
      </c>
      <c r="M15" s="113">
        <f t="shared" si="47"/>
        <v>35.51</v>
      </c>
      <c r="N15" s="115">
        <f>T_LNA($A15,M$4)</f>
        <v>8.9044000000000008</v>
      </c>
      <c r="O15" s="68">
        <f t="shared" ca="1" si="10"/>
        <v>35.096518081175347</v>
      </c>
      <c r="P15" s="65" t="e">
        <f t="shared" ca="1" si="11"/>
        <v>#NAME?</v>
      </c>
      <c r="Q15" s="113">
        <f t="shared" si="48"/>
        <v>35.799999999999997</v>
      </c>
      <c r="R15" s="115">
        <f>T_LNA($A15,Q$4)</f>
        <v>9.7179999999999982</v>
      </c>
      <c r="S15" s="68">
        <f t="shared" ca="1" si="14"/>
        <v>35.412227418926967</v>
      </c>
      <c r="T15" s="65" t="e">
        <f t="shared" ca="1" si="15"/>
        <v>#NAME?</v>
      </c>
      <c r="U15" s="113">
        <f t="shared" si="49"/>
        <v>36.14</v>
      </c>
      <c r="V15" s="115">
        <f>T_LNA($A15,U$4)</f>
        <v>9.876199999999999</v>
      </c>
      <c r="W15" s="68">
        <f t="shared" ca="1" si="18"/>
        <v>35.763296619298671</v>
      </c>
      <c r="X15" s="65" t="e">
        <f t="shared" ca="1" si="19"/>
        <v>#NAME?</v>
      </c>
      <c r="Y15" s="113">
        <f t="shared" si="50"/>
        <v>36.325000000000003</v>
      </c>
      <c r="Z15" s="115">
        <f>T_LNA($A15,Y$4)</f>
        <v>10.011799999999997</v>
      </c>
      <c r="AA15" s="68">
        <f t="shared" ca="1" si="22"/>
        <v>35.956946804007202</v>
      </c>
      <c r="AB15" s="65" t="e">
        <f t="shared" ca="1" si="23"/>
        <v>#NAME?</v>
      </c>
      <c r="AC15" s="113">
        <f t="shared" si="51"/>
        <v>36.435000000000002</v>
      </c>
      <c r="AD15" s="115">
        <f>T_LNA($A15,AC$4)</f>
        <v>10.904499999999997</v>
      </c>
      <c r="AE15" s="68">
        <f t="shared" ca="1" si="26"/>
        <v>36.073525558500059</v>
      </c>
      <c r="AF15" s="65" t="e">
        <f t="shared" ca="1" si="27"/>
        <v>#NAME?</v>
      </c>
      <c r="AG15" s="113">
        <f t="shared" si="52"/>
        <v>36.01</v>
      </c>
      <c r="AH15" s="115">
        <f>T_LNA($A15,AG$4)</f>
        <v>12.548649999999995</v>
      </c>
      <c r="AI15" s="68">
        <f t="shared" ca="1" si="30"/>
        <v>35.65346050952656</v>
      </c>
      <c r="AJ15" s="65" t="e">
        <f t="shared" ca="1" si="31"/>
        <v>#NAME?</v>
      </c>
      <c r="AK15" s="113">
        <f t="shared" si="53"/>
        <v>35.630000000000003</v>
      </c>
      <c r="AL15" s="115">
        <f>T_LNA($A15,AK$4)</f>
        <v>14.661750000000001</v>
      </c>
      <c r="AM15" s="68">
        <f t="shared" ca="1" si="34"/>
        <v>35.277895688134706</v>
      </c>
      <c r="AN15" s="65" t="e">
        <f t="shared" ca="1" si="35"/>
        <v>#NAME?</v>
      </c>
      <c r="AO15" s="113">
        <f t="shared" si="54"/>
        <v>35.200000000000003</v>
      </c>
      <c r="AP15" s="115">
        <f>T_LNA($A15,AO$4)</f>
        <v>16.724</v>
      </c>
      <c r="AQ15" s="68">
        <f t="shared" ca="1" si="38"/>
        <v>34.851011549902502</v>
      </c>
      <c r="AR15" s="65" t="e">
        <f t="shared" ca="1" si="39"/>
        <v>#NAME?</v>
      </c>
      <c r="AS15" s="113">
        <f t="shared" si="55"/>
        <v>34.950000000000003</v>
      </c>
      <c r="AT15" s="115">
        <f>T_LNA($A15,AS$4)</f>
        <v>16.102499999999999</v>
      </c>
      <c r="AU15" s="68">
        <f t="shared" ca="1" si="42"/>
        <v>34.603394254565558</v>
      </c>
      <c r="AV15" s="65" t="e">
        <f t="shared" ca="1" si="43"/>
        <v>#NAME?</v>
      </c>
      <c r="AW15" s="408"/>
      <c r="AX15" s="407"/>
      <c r="AY15" s="408"/>
      <c r="AZ15" s="408"/>
    </row>
    <row r="16" spans="1:52" s="10" customFormat="1" ht="15.5">
      <c r="A16" s="538" t="s">
        <v>80</v>
      </c>
      <c r="B16" s="96">
        <v>2</v>
      </c>
      <c r="C16" s="103">
        <f t="shared" si="0"/>
        <v>50</v>
      </c>
      <c r="D16" s="539">
        <v>0.15</v>
      </c>
      <c r="E16" s="534">
        <f t="shared" si="45"/>
        <v>-0.2293669288503733</v>
      </c>
      <c r="F16" s="535">
        <f>Atten_to_Te(E16,$C16)</f>
        <v>2.7116604797435162</v>
      </c>
      <c r="G16" s="536">
        <f t="shared" ref="G16" ca="1" si="76">E16+OFFSET(G16,-1,0)</f>
        <v>33.792916787991224</v>
      </c>
      <c r="H16" s="537" t="e">
        <f t="shared" ref="H16" ca="1" si="77">OFFSET(H16,-1,0)+F16*dbToAbs(-1*OFFSET(G16,-1,0))</f>
        <v>#NAME?</v>
      </c>
      <c r="I16" s="534">
        <f t="shared" si="46"/>
        <v>-0.19941088263337212</v>
      </c>
      <c r="J16" s="535">
        <f>Atten_to_Te(I16,$C16)</f>
        <v>2.3493257721931227</v>
      </c>
      <c r="K16" s="536">
        <f t="shared" ref="K16" ca="1" si="78">I16+OFFSET(K16,-1,0)</f>
        <v>34.165225364122584</v>
      </c>
      <c r="L16" s="537" t="e">
        <f t="shared" ref="L16" ca="1" si="79">OFFSET(L16,-1,0)+J16*dbToAbs(-1*OFFSET(K16,-1,0))</f>
        <v>#NAME?</v>
      </c>
      <c r="M16" s="534">
        <f t="shared" si="47"/>
        <v>-0.17914992483764211</v>
      </c>
      <c r="N16" s="535">
        <f>Atten_to_Te(M16,$C16)</f>
        <v>2.1056714615558136</v>
      </c>
      <c r="O16" s="536">
        <f t="shared" ref="O16" ca="1" si="80">M16+OFFSET(O16,-1,0)</f>
        <v>34.917368156337702</v>
      </c>
      <c r="P16" s="537" t="e">
        <f t="shared" ref="P16" ca="1" si="81">OFFSET(P16,-1,0)+N16*dbToAbs(-1*OFFSET(O16,-1,0))</f>
        <v>#NAME?</v>
      </c>
      <c r="Q16" s="534">
        <f t="shared" si="48"/>
        <v>-0.16460424173428401</v>
      </c>
      <c r="R16" s="535">
        <f>Atten_to_Te(Q16,$C16)</f>
        <v>1.9314475636290962</v>
      </c>
      <c r="S16" s="536">
        <f t="shared" ref="S16" ca="1" si="82">Q16+OFFSET(S16,-1,0)</f>
        <v>35.247623177192686</v>
      </c>
      <c r="T16" s="537" t="e">
        <f t="shared" ref="T16" ca="1" si="83">OFFSET(T16,-1,0)+R16*dbToAbs(-1*OFFSET(S16,-1,0))</f>
        <v>#NAME?</v>
      </c>
      <c r="U16" s="534">
        <f t="shared" si="49"/>
        <v>-0.15435498213085869</v>
      </c>
      <c r="V16" s="535">
        <f>Atten_to_Te(U16,$C16)</f>
        <v>1.8090349280488249</v>
      </c>
      <c r="W16" s="536">
        <f t="shared" ref="W16" ca="1" si="84">U16+OFFSET(W16,-1,0)</f>
        <v>35.60894163716781</v>
      </c>
      <c r="X16" s="537" t="e">
        <f t="shared" ref="X16" ca="1" si="85">OFFSET(X16,-1,0)+V16*dbToAbs(-1*OFFSET(W16,-1,0))</f>
        <v>#NAME?</v>
      </c>
      <c r="Y16" s="534">
        <f t="shared" si="50"/>
        <v>-0.14634555184518808</v>
      </c>
      <c r="Z16" s="535">
        <f>Atten_to_Te(Y16,$C16)</f>
        <v>1.7135747133268264</v>
      </c>
      <c r="AA16" s="536">
        <f t="shared" ref="AA16" ca="1" si="86">Y16+OFFSET(AA16,-1,0)</f>
        <v>35.810601252162016</v>
      </c>
      <c r="AB16" s="537" t="e">
        <f t="shared" ref="AB16" ca="1" si="87">OFFSET(AB16,-1,0)+Z16*dbToAbs(-1*OFFSET(AA16,-1,0))</f>
        <v>#NAME?</v>
      </c>
      <c r="AC16" s="534">
        <f t="shared" si="51"/>
        <v>-0.14025411249994679</v>
      </c>
      <c r="AD16" s="535">
        <f>Atten_to_Te(AC16,$C16)</f>
        <v>1.641091800794181</v>
      </c>
      <c r="AE16" s="536">
        <f t="shared" ref="AE16" ca="1" si="88">AC16+OFFSET(AE16,-1,0)</f>
        <v>35.933271446000113</v>
      </c>
      <c r="AF16" s="537" t="e">
        <f t="shared" ref="AF16" ca="1" si="89">OFFSET(AF16,-1,0)+AD16*dbToAbs(-1*OFFSET(AE16,-1,0))</f>
        <v>#NAME?</v>
      </c>
      <c r="AG16" s="534">
        <f t="shared" si="52"/>
        <v>-0.13568471340132965</v>
      </c>
      <c r="AH16" s="535">
        <f>Atten_to_Te(AG16,$C16)</f>
        <v>1.5867865597107511</v>
      </c>
      <c r="AI16" s="536">
        <f t="shared" ref="AI16" ca="1" si="90">AG16+OFFSET(AI16,-1,0)</f>
        <v>35.517775796125228</v>
      </c>
      <c r="AJ16" s="537" t="e">
        <f t="shared" ref="AJ16" ca="1" si="91">OFFSET(AJ16,-1,0)+AH16*dbToAbs(-1*OFFSET(AI16,-1,0))</f>
        <v>#NAME?</v>
      </c>
      <c r="AK16" s="534">
        <f t="shared" si="53"/>
        <v>-0.13157806654194459</v>
      </c>
      <c r="AL16" s="535">
        <f>Atten_to_Te(AK16,$C16)</f>
        <v>1.5380296460625997</v>
      </c>
      <c r="AM16" s="536">
        <f t="shared" ref="AM16" ca="1" si="92">AK16+OFFSET(AM16,-1,0)</f>
        <v>35.146317621592758</v>
      </c>
      <c r="AN16" s="537" t="e">
        <f t="shared" ref="AN16" ca="1" si="93">OFFSET(AN16,-1,0)+AL16*dbToAbs(-1*OFFSET(AM16,-1,0))</f>
        <v>#NAME?</v>
      </c>
      <c r="AO16" s="534">
        <f t="shared" si="54"/>
        <v>-0.12869300934953729</v>
      </c>
      <c r="AP16" s="535">
        <f>Atten_to_Te(AO16,$C16)</f>
        <v>1.5038038402702791</v>
      </c>
      <c r="AQ16" s="536">
        <f t="shared" ref="AQ16" ca="1" si="94">AO16+OFFSET(AQ16,-1,0)</f>
        <v>34.722318540552962</v>
      </c>
      <c r="AR16" s="537" t="e">
        <f t="shared" ref="AR16" ca="1" si="95">OFFSET(AR16,-1,0)+AP16*dbToAbs(-1*OFFSET(AQ16,-1,0))</f>
        <v>#NAME?</v>
      </c>
      <c r="AS16" s="534">
        <f t="shared" si="55"/>
        <v>-0.12648680132819304</v>
      </c>
      <c r="AT16" s="535">
        <f>Atten_to_Te(AS16,$C16)</f>
        <v>1.4776466466268956</v>
      </c>
      <c r="AU16" s="536">
        <f t="shared" ref="AU16" ca="1" si="96">AS16+OFFSET(AU16,-1,0)</f>
        <v>34.476907453237366</v>
      </c>
      <c r="AV16" s="537" t="e">
        <f t="shared" ref="AV16" ca="1" si="97">OFFSET(AV16,-1,0)+AT16*dbToAbs(-1*OFFSET(AU16,-1,0))</f>
        <v>#NAME?</v>
      </c>
      <c r="AW16" s="406"/>
      <c r="AX16" s="406"/>
      <c r="AY16" s="406"/>
      <c r="AZ16" s="406"/>
    </row>
    <row r="17" spans="1:52" s="10" customFormat="1" ht="16" thickBot="1">
      <c r="A17" s="542" t="s">
        <v>34</v>
      </c>
      <c r="B17" s="98">
        <v>4</v>
      </c>
      <c r="C17" s="102">
        <f t="shared" si="0"/>
        <v>190</v>
      </c>
      <c r="D17" s="540">
        <v>0.15</v>
      </c>
      <c r="E17" s="128">
        <f t="shared" si="45"/>
        <v>-1.1843483313260739</v>
      </c>
      <c r="F17" s="129">
        <f>Atten_to_Te(E17,$C17)</f>
        <v>59.5677330309585</v>
      </c>
      <c r="G17" s="83">
        <f t="shared" ca="1" si="3"/>
        <v>32.608568456665154</v>
      </c>
      <c r="H17" s="84" t="e">
        <f t="shared" ca="1" si="44"/>
        <v>#NAME?</v>
      </c>
      <c r="I17" s="128">
        <f t="shared" si="46"/>
        <v>-1.2129374510231297</v>
      </c>
      <c r="J17" s="129">
        <f>Atten_to_Te(I17,$C17)</f>
        <v>61.216028807775857</v>
      </c>
      <c r="K17" s="83">
        <f t="shared" ca="1" si="6"/>
        <v>32.952287913099454</v>
      </c>
      <c r="L17" s="84" t="e">
        <f t="shared" ca="1" si="7"/>
        <v>#NAME?</v>
      </c>
      <c r="M17" s="128">
        <f t="shared" si="47"/>
        <v>-1.2447304487516968</v>
      </c>
      <c r="N17" s="129">
        <f>Atten_to_Te(M17,$C17)</f>
        <v>63.061830897877591</v>
      </c>
      <c r="O17" s="83">
        <f t="shared" ca="1" si="10"/>
        <v>33.672637707586006</v>
      </c>
      <c r="P17" s="84" t="e">
        <f t="shared" ca="1" si="11"/>
        <v>#NAME?</v>
      </c>
      <c r="Q17" s="128">
        <f t="shared" si="48"/>
        <v>-1.2778741891872312</v>
      </c>
      <c r="R17" s="129">
        <f>Atten_to_Te(Q17,$C17)</f>
        <v>65.000492883983114</v>
      </c>
      <c r="S17" s="83">
        <f t="shared" ca="1" si="14"/>
        <v>33.969748988005456</v>
      </c>
      <c r="T17" s="84" t="e">
        <f t="shared" ca="1" si="15"/>
        <v>#NAME?</v>
      </c>
      <c r="U17" s="128">
        <f t="shared" si="49"/>
        <v>-1.3096674021847459</v>
      </c>
      <c r="V17" s="129">
        <f>Atten_to_Te(U17,$C17)</f>
        <v>66.874113940774393</v>
      </c>
      <c r="W17" s="83">
        <f t="shared" ca="1" si="18"/>
        <v>34.299274234983066</v>
      </c>
      <c r="X17" s="84" t="e">
        <f t="shared" ca="1" si="19"/>
        <v>#NAME?</v>
      </c>
      <c r="Y17" s="128">
        <f t="shared" si="50"/>
        <v>-1.3447284428785247</v>
      </c>
      <c r="Z17" s="129">
        <f>Atten_to_Te(Y17,$C17)</f>
        <v>68.956278567535435</v>
      </c>
      <c r="AA17" s="83">
        <f t="shared" ca="1" si="22"/>
        <v>34.465872809283489</v>
      </c>
      <c r="AB17" s="84" t="e">
        <f t="shared" ca="1" si="23"/>
        <v>#NAME?</v>
      </c>
      <c r="AC17" s="128">
        <f t="shared" si="51"/>
        <v>-1.3782892249267682</v>
      </c>
      <c r="AD17" s="129">
        <f>Atten_to_Te(AC17,$C17)</f>
        <v>70.965155473044774</v>
      </c>
      <c r="AE17" s="83">
        <f t="shared" ca="1" si="26"/>
        <v>34.554982221073345</v>
      </c>
      <c r="AF17" s="84" t="e">
        <f t="shared" ca="1" si="27"/>
        <v>#NAME?</v>
      </c>
      <c r="AG17" s="128">
        <f t="shared" si="52"/>
        <v>-1.4116214588638389</v>
      </c>
      <c r="AH17" s="129">
        <f>Atten_to_Te(AG17,$C17)</f>
        <v>72.975776920862032</v>
      </c>
      <c r="AI17" s="83">
        <f t="shared" ca="1" si="30"/>
        <v>34.106154337261387</v>
      </c>
      <c r="AJ17" s="84" t="e">
        <f t="shared" ca="1" si="31"/>
        <v>#NAME?</v>
      </c>
      <c r="AK17" s="128">
        <f t="shared" si="53"/>
        <v>-1.4500660124323514</v>
      </c>
      <c r="AL17" s="129">
        <f>Atten_to_Te(AK17,$C17)</f>
        <v>75.314021323010991</v>
      </c>
      <c r="AM17" s="83">
        <f t="shared" ca="1" si="34"/>
        <v>33.696251609160406</v>
      </c>
      <c r="AN17" s="84" t="e">
        <f t="shared" ca="1" si="35"/>
        <v>#NAME?</v>
      </c>
      <c r="AO17" s="128">
        <f t="shared" si="54"/>
        <v>-1.4862423329740375</v>
      </c>
      <c r="AP17" s="129">
        <f>Atten_to_Te(AO17,$C17)</f>
        <v>77.53329241252149</v>
      </c>
      <c r="AQ17" s="83">
        <f t="shared" ca="1" si="38"/>
        <v>33.236076207578925</v>
      </c>
      <c r="AR17" s="84" t="e">
        <f t="shared" ca="1" si="39"/>
        <v>#NAME?</v>
      </c>
      <c r="AS17" s="128">
        <f t="shared" si="55"/>
        <v>-1.5246228013708925</v>
      </c>
      <c r="AT17" s="129">
        <f>Atten_to_Te(AS17,$C17)</f>
        <v>79.908077046791519</v>
      </c>
      <c r="AU17" s="83">
        <f t="shared" ca="1" si="42"/>
        <v>32.952284651866471</v>
      </c>
      <c r="AV17" s="84" t="e">
        <f t="shared" ca="1" si="43"/>
        <v>#NAME?</v>
      </c>
      <c r="AW17" s="406"/>
      <c r="AX17" s="406"/>
      <c r="AY17" s="406"/>
      <c r="AZ17" s="406"/>
    </row>
    <row r="18" spans="1:52" s="10" customFormat="1" ht="16" thickBot="1">
      <c r="A18" s="105" t="s">
        <v>23</v>
      </c>
      <c r="B18" s="100"/>
      <c r="C18" s="100"/>
      <c r="D18" s="94"/>
      <c r="E18" s="86"/>
      <c r="F18" s="86"/>
      <c r="G18" s="88">
        <f ca="1">G17</f>
        <v>32.608568456665154</v>
      </c>
      <c r="H18" s="87" t="e">
        <f ca="1">H17</f>
        <v>#NAME?</v>
      </c>
      <c r="I18" s="86"/>
      <c r="J18" s="86"/>
      <c r="K18" s="88">
        <f ca="1">K17</f>
        <v>32.952287913099454</v>
      </c>
      <c r="L18" s="87" t="e">
        <f ca="1">L17</f>
        <v>#NAME?</v>
      </c>
      <c r="M18" s="86"/>
      <c r="N18" s="86"/>
      <c r="O18" s="88">
        <f ca="1">O17</f>
        <v>33.672637707586006</v>
      </c>
      <c r="P18" s="87" t="e">
        <f ca="1">P17</f>
        <v>#NAME?</v>
      </c>
      <c r="Q18" s="86"/>
      <c r="R18" s="86"/>
      <c r="S18" s="88">
        <f ca="1">S17</f>
        <v>33.969748988005456</v>
      </c>
      <c r="T18" s="87" t="e">
        <f ca="1">T17</f>
        <v>#NAME?</v>
      </c>
      <c r="U18" s="86"/>
      <c r="V18" s="86"/>
      <c r="W18" s="88">
        <f ca="1">W17</f>
        <v>34.299274234983066</v>
      </c>
      <c r="X18" s="87" t="e">
        <f ca="1">X17</f>
        <v>#NAME?</v>
      </c>
      <c r="Y18" s="86"/>
      <c r="Z18" s="86"/>
      <c r="AA18" s="88">
        <f ca="1">AA17</f>
        <v>34.465872809283489</v>
      </c>
      <c r="AB18" s="87" t="e">
        <f ca="1">AB17</f>
        <v>#NAME?</v>
      </c>
      <c r="AC18" s="86"/>
      <c r="AD18" s="86"/>
      <c r="AE18" s="88">
        <f ca="1">AE17</f>
        <v>34.554982221073345</v>
      </c>
      <c r="AF18" s="87" t="e">
        <f ca="1">AF17</f>
        <v>#NAME?</v>
      </c>
      <c r="AG18" s="86"/>
      <c r="AH18" s="86"/>
      <c r="AI18" s="88">
        <f ca="1">AI17</f>
        <v>34.106154337261387</v>
      </c>
      <c r="AJ18" s="87" t="e">
        <f ca="1">AJ17</f>
        <v>#NAME?</v>
      </c>
      <c r="AK18" s="86"/>
      <c r="AL18" s="86"/>
      <c r="AM18" s="88">
        <f ca="1">AM17</f>
        <v>33.696251609160406</v>
      </c>
      <c r="AN18" s="87" t="e">
        <f ca="1">AN17</f>
        <v>#NAME?</v>
      </c>
      <c r="AO18" s="86"/>
      <c r="AP18" s="86"/>
      <c r="AQ18" s="88">
        <f ca="1">AQ17</f>
        <v>33.236076207578925</v>
      </c>
      <c r="AR18" s="87" t="e">
        <f ca="1">AR17</f>
        <v>#NAME?</v>
      </c>
      <c r="AS18" s="86"/>
      <c r="AT18" s="86"/>
      <c r="AU18" s="88">
        <f ca="1">AU17</f>
        <v>32.952284651866471</v>
      </c>
      <c r="AV18" s="87" t="e">
        <f ca="1">AV17</f>
        <v>#NAME?</v>
      </c>
      <c r="AW18" s="406"/>
      <c r="AX18" s="406"/>
      <c r="AY18" s="406"/>
      <c r="AZ18" s="406"/>
    </row>
    <row r="19" spans="1:52" s="10" customFormat="1" ht="20.149999999999999" customHeight="1" thickBot="1">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406"/>
      <c r="AX19" s="406"/>
      <c r="AY19" s="406"/>
      <c r="AZ19" s="406"/>
    </row>
    <row r="20" spans="1:52" s="43" customFormat="1" ht="19.5" customHeight="1" thickBot="1">
      <c r="A20" s="59" t="s">
        <v>233</v>
      </c>
      <c r="B20" s="618" t="s">
        <v>158</v>
      </c>
      <c r="C20" s="618" t="s">
        <v>32</v>
      </c>
      <c r="D20" s="618" t="s">
        <v>33</v>
      </c>
      <c r="E20" s="400">
        <v>6</v>
      </c>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401"/>
      <c r="AR20" s="401"/>
      <c r="AS20" s="401"/>
      <c r="AT20" s="401"/>
      <c r="AU20" s="401"/>
      <c r="AV20" s="402"/>
      <c r="AW20" s="403"/>
      <c r="AX20" s="403"/>
      <c r="AY20" s="403"/>
      <c r="AZ20" s="403"/>
    </row>
    <row r="21" spans="1:52" s="44" customFormat="1" ht="18.5" thickBot="1">
      <c r="A21" s="70" t="s">
        <v>7</v>
      </c>
      <c r="B21" s="619"/>
      <c r="C21" s="619"/>
      <c r="D21" s="619"/>
      <c r="E21" s="621">
        <f>fLO_Band6</f>
        <v>70</v>
      </c>
      <c r="F21" s="621"/>
      <c r="G21" s="621"/>
      <c r="H21" s="622"/>
      <c r="I21" s="623">
        <v>73.8</v>
      </c>
      <c r="J21" s="624"/>
      <c r="K21" s="624"/>
      <c r="L21" s="625"/>
      <c r="M21" s="623">
        <v>77.5</v>
      </c>
      <c r="N21" s="624"/>
      <c r="O21" s="624"/>
      <c r="P21" s="625"/>
      <c r="Q21" s="623">
        <v>81.5</v>
      </c>
      <c r="R21" s="624"/>
      <c r="S21" s="624"/>
      <c r="T21" s="625"/>
      <c r="U21" s="623">
        <v>85.5</v>
      </c>
      <c r="V21" s="624"/>
      <c r="W21" s="624"/>
      <c r="X21" s="625"/>
      <c r="Y21" s="623">
        <v>90</v>
      </c>
      <c r="Z21" s="624"/>
      <c r="AA21" s="624"/>
      <c r="AB21" s="625"/>
      <c r="AC21" s="623">
        <v>95</v>
      </c>
      <c r="AD21" s="624"/>
      <c r="AE21" s="624"/>
      <c r="AF21" s="625"/>
      <c r="AG21" s="623">
        <v>100</v>
      </c>
      <c r="AH21" s="624"/>
      <c r="AI21" s="624"/>
      <c r="AJ21" s="625"/>
      <c r="AK21" s="623">
        <v>105</v>
      </c>
      <c r="AL21" s="624"/>
      <c r="AM21" s="624"/>
      <c r="AN21" s="625"/>
      <c r="AO21" s="623">
        <v>110.6</v>
      </c>
      <c r="AP21" s="624"/>
      <c r="AQ21" s="624"/>
      <c r="AR21" s="625"/>
      <c r="AS21" s="620">
        <f>fHI_Band6</f>
        <v>116</v>
      </c>
      <c r="AT21" s="621"/>
      <c r="AU21" s="621"/>
      <c r="AV21" s="622"/>
      <c r="AW21" s="404"/>
      <c r="AX21" s="404"/>
      <c r="AY21" s="404"/>
      <c r="AZ21" s="404"/>
    </row>
    <row r="22" spans="1:52" s="11" customFormat="1" ht="16.5" thickTop="1" thickBot="1">
      <c r="A22" s="60" t="s">
        <v>20</v>
      </c>
      <c r="B22" s="99" t="s">
        <v>13</v>
      </c>
      <c r="C22" s="99" t="s">
        <v>29</v>
      </c>
      <c r="D22" s="93" t="s">
        <v>30</v>
      </c>
      <c r="E22" s="55" t="s">
        <v>22</v>
      </c>
      <c r="F22" s="45" t="s">
        <v>21</v>
      </c>
      <c r="G22" s="67" t="s">
        <v>24</v>
      </c>
      <c r="H22" s="64" t="s">
        <v>25</v>
      </c>
      <c r="I22" s="56" t="s">
        <v>22</v>
      </c>
      <c r="J22" s="45" t="s">
        <v>21</v>
      </c>
      <c r="K22" s="67" t="s">
        <v>24</v>
      </c>
      <c r="L22" s="64" t="s">
        <v>25</v>
      </c>
      <c r="M22" s="56" t="s">
        <v>22</v>
      </c>
      <c r="N22" s="45" t="s">
        <v>21</v>
      </c>
      <c r="O22" s="67" t="s">
        <v>24</v>
      </c>
      <c r="P22" s="64" t="s">
        <v>25</v>
      </c>
      <c r="Q22" s="56" t="s">
        <v>22</v>
      </c>
      <c r="R22" s="45" t="s">
        <v>21</v>
      </c>
      <c r="S22" s="67" t="s">
        <v>24</v>
      </c>
      <c r="T22" s="64" t="s">
        <v>25</v>
      </c>
      <c r="U22" s="56" t="s">
        <v>22</v>
      </c>
      <c r="V22" s="45" t="s">
        <v>21</v>
      </c>
      <c r="W22" s="67" t="s">
        <v>24</v>
      </c>
      <c r="X22" s="64" t="s">
        <v>25</v>
      </c>
      <c r="Y22" s="56" t="s">
        <v>22</v>
      </c>
      <c r="Z22" s="45" t="s">
        <v>21</v>
      </c>
      <c r="AA22" s="67" t="s">
        <v>24</v>
      </c>
      <c r="AB22" s="64" t="s">
        <v>25</v>
      </c>
      <c r="AC22" s="56" t="s">
        <v>22</v>
      </c>
      <c r="AD22" s="45" t="s">
        <v>21</v>
      </c>
      <c r="AE22" s="67" t="s">
        <v>24</v>
      </c>
      <c r="AF22" s="64" t="s">
        <v>25</v>
      </c>
      <c r="AG22" s="56" t="s">
        <v>22</v>
      </c>
      <c r="AH22" s="45" t="s">
        <v>21</v>
      </c>
      <c r="AI22" s="67" t="s">
        <v>24</v>
      </c>
      <c r="AJ22" s="64" t="s">
        <v>25</v>
      </c>
      <c r="AK22" s="56" t="s">
        <v>22</v>
      </c>
      <c r="AL22" s="45" t="s">
        <v>21</v>
      </c>
      <c r="AM22" s="67" t="s">
        <v>24</v>
      </c>
      <c r="AN22" s="64" t="s">
        <v>25</v>
      </c>
      <c r="AO22" s="56" t="s">
        <v>22</v>
      </c>
      <c r="AP22" s="45" t="s">
        <v>21</v>
      </c>
      <c r="AQ22" s="67" t="s">
        <v>24</v>
      </c>
      <c r="AR22" s="64" t="s">
        <v>25</v>
      </c>
      <c r="AS22" s="56" t="s">
        <v>22</v>
      </c>
      <c r="AT22" s="45" t="s">
        <v>21</v>
      </c>
      <c r="AU22" s="67" t="s">
        <v>24</v>
      </c>
      <c r="AV22" s="64" t="s">
        <v>25</v>
      </c>
      <c r="AW22" s="405"/>
      <c r="AX22" s="405"/>
      <c r="AY22" s="405"/>
      <c r="AZ22" s="405"/>
    </row>
    <row r="23" spans="1:52" s="10" customFormat="1" ht="16" thickTop="1">
      <c r="A23" s="77" t="s">
        <v>19</v>
      </c>
      <c r="B23" s="101">
        <v>1</v>
      </c>
      <c r="C23" s="101">
        <f t="shared" ref="C23:C36" si="98">INDEX(Stage_Temp_Table,$B23)</f>
        <v>20</v>
      </c>
      <c r="D23" s="101"/>
      <c r="E23" s="78">
        <v>0</v>
      </c>
      <c r="F23" s="79">
        <v>0</v>
      </c>
      <c r="G23" s="80">
        <v>0</v>
      </c>
      <c r="H23" s="81">
        <v>0</v>
      </c>
      <c r="I23" s="78">
        <v>0</v>
      </c>
      <c r="J23" s="79">
        <v>0</v>
      </c>
      <c r="K23" s="80">
        <v>0</v>
      </c>
      <c r="L23" s="81">
        <v>0</v>
      </c>
      <c r="M23" s="78">
        <v>0</v>
      </c>
      <c r="N23" s="79">
        <v>0</v>
      </c>
      <c r="O23" s="80">
        <v>0</v>
      </c>
      <c r="P23" s="81">
        <v>0</v>
      </c>
      <c r="Q23" s="78">
        <v>0</v>
      </c>
      <c r="R23" s="79">
        <v>0</v>
      </c>
      <c r="S23" s="80">
        <v>0</v>
      </c>
      <c r="T23" s="81">
        <v>0</v>
      </c>
      <c r="U23" s="78">
        <v>0</v>
      </c>
      <c r="V23" s="79">
        <v>0</v>
      </c>
      <c r="W23" s="80">
        <v>0</v>
      </c>
      <c r="X23" s="81">
        <v>0</v>
      </c>
      <c r="Y23" s="78">
        <v>0</v>
      </c>
      <c r="Z23" s="79">
        <v>0</v>
      </c>
      <c r="AA23" s="80">
        <v>0</v>
      </c>
      <c r="AB23" s="81">
        <v>0</v>
      </c>
      <c r="AC23" s="78">
        <v>0</v>
      </c>
      <c r="AD23" s="79">
        <v>0</v>
      </c>
      <c r="AE23" s="80">
        <v>0</v>
      </c>
      <c r="AF23" s="81">
        <v>0</v>
      </c>
      <c r="AG23" s="78">
        <v>0</v>
      </c>
      <c r="AH23" s="79">
        <v>0</v>
      </c>
      <c r="AI23" s="80">
        <v>0</v>
      </c>
      <c r="AJ23" s="81">
        <v>0</v>
      </c>
      <c r="AK23" s="78">
        <v>0</v>
      </c>
      <c r="AL23" s="79">
        <v>0</v>
      </c>
      <c r="AM23" s="80">
        <v>0</v>
      </c>
      <c r="AN23" s="81">
        <v>0</v>
      </c>
      <c r="AO23" s="78">
        <v>0</v>
      </c>
      <c r="AP23" s="79">
        <v>0</v>
      </c>
      <c r="AQ23" s="80">
        <v>0</v>
      </c>
      <c r="AR23" s="81">
        <v>0</v>
      </c>
      <c r="AS23" s="78">
        <v>0</v>
      </c>
      <c r="AT23" s="79">
        <v>0</v>
      </c>
      <c r="AU23" s="80">
        <v>0</v>
      </c>
      <c r="AV23" s="81">
        <v>0</v>
      </c>
      <c r="AW23" s="406"/>
      <c r="AX23" s="406"/>
      <c r="AY23" s="406"/>
      <c r="AZ23" s="406"/>
    </row>
    <row r="24" spans="1:52" s="10" customFormat="1" ht="15.5">
      <c r="A24" s="61" t="s">
        <v>5</v>
      </c>
      <c r="B24" s="98">
        <v>5</v>
      </c>
      <c r="C24" s="102">
        <f t="shared" si="98"/>
        <v>300</v>
      </c>
      <c r="D24" s="96"/>
      <c r="E24" s="71">
        <f>G_Lookup($A24,$E$20, E$21,$D24)</f>
        <v>-5.1250000000000004E-2</v>
      </c>
      <c r="F24" s="19">
        <f>Atten_to_Te(E24,$C24)</f>
        <v>3.5611956408302836</v>
      </c>
      <c r="G24" s="68">
        <f ca="1">E24+OFFSET(G24,-1,0)</f>
        <v>-5.1250000000000004E-2</v>
      </c>
      <c r="H24" s="65" t="e">
        <f ca="1">OFFSET(H24,-1,0)+F24*dbToAbs(-1*OFFSET(G24,-1,0))</f>
        <v>#NAME?</v>
      </c>
      <c r="I24" s="71">
        <f>G_Lookup($A24,$E$20, I$21,$D24)</f>
        <v>-5.3624999999999999E-2</v>
      </c>
      <c r="J24" s="19">
        <f>Atten_to_Te(I24,$C24)</f>
        <v>3.7272477180650965</v>
      </c>
      <c r="K24" s="68">
        <f ca="1">I24+OFFSET(K24,-1,0)</f>
        <v>-5.3624999999999999E-2</v>
      </c>
      <c r="L24" s="65" t="e">
        <f ca="1">OFFSET(L24,-1,0)+J24*dbToAbs(-1*OFFSET(K24,-1,0))</f>
        <v>#NAME?</v>
      </c>
      <c r="M24" s="71">
        <f>G_Lookup($A24,$E$20, M$21,$D24)</f>
        <v>-5.5937500000000001E-2</v>
      </c>
      <c r="N24" s="19">
        <f>Atten_to_Te(M24,$C24)</f>
        <v>3.8890172820549518</v>
      </c>
      <c r="O24" s="68">
        <f ca="1">M24+OFFSET(O24,-1,0)</f>
        <v>-5.5937500000000001E-2</v>
      </c>
      <c r="P24" s="65" t="e">
        <f ca="1">OFFSET(P24,-1,0)+N24*dbToAbs(-1*OFFSET(O24,-1,0))</f>
        <v>#NAME?</v>
      </c>
      <c r="Q24" s="71">
        <f>G_Lookup($A24,$E$20, Q$21,$D24)</f>
        <v>-5.8437499999999996E-2</v>
      </c>
      <c r="R24" s="19">
        <f>Atten_to_Te(Q24,$C24)</f>
        <v>4.0640002216410176</v>
      </c>
      <c r="S24" s="68">
        <f ca="1">Q24+OFFSET(S24,-1,0)</f>
        <v>-5.8437499999999996E-2</v>
      </c>
      <c r="T24" s="65" t="e">
        <f ca="1">OFFSET(T24,-1,0)+R24*dbToAbs(-1*OFFSET(S24,-1,0))</f>
        <v>#NAME?</v>
      </c>
      <c r="U24" s="71">
        <f>G_Lookup($A24,$E$20, U$21,$D24)</f>
        <v>-6.0937499999999999E-2</v>
      </c>
      <c r="V24" s="19">
        <f>Atten_to_Te(U24,$C24)</f>
        <v>4.2390839185016738</v>
      </c>
      <c r="W24" s="68">
        <f ca="1">U24+OFFSET(W24,-1,0)</f>
        <v>-6.0937499999999999E-2</v>
      </c>
      <c r="X24" s="65" t="e">
        <f ca="1">OFFSET(X24,-1,0)+V24*dbToAbs(-1*OFFSET(W24,-1,0))</f>
        <v>#NAME?</v>
      </c>
      <c r="Y24" s="71">
        <f>G_Lookup($A24,$E$20, Y$21,$D24)</f>
        <v>-6.3750000000000001E-2</v>
      </c>
      <c r="Z24" s="19">
        <f>Atten_to_Te(Y24,$C24)</f>
        <v>4.4361735861392138</v>
      </c>
      <c r="AA24" s="68">
        <f ca="1">Y24+OFFSET(AA24,-1,0)</f>
        <v>-6.3750000000000001E-2</v>
      </c>
      <c r="AB24" s="65" t="e">
        <f ca="1">OFFSET(AB24,-1,0)+Z24*dbToAbs(-1*OFFSET(AA24,-1,0))</f>
        <v>#NAME?</v>
      </c>
      <c r="AC24" s="71">
        <f>G_Lookup($A24,$E$20, AC$21,$D24)</f>
        <v>-6.6875000000000004E-2</v>
      </c>
      <c r="AD24" s="19">
        <f>Atten_to_Te(AC24,$C24)</f>
        <v>4.6553118539722327</v>
      </c>
      <c r="AE24" s="68">
        <f ca="1">AC24+OFFSET(AE24,-1,0)</f>
        <v>-6.6875000000000004E-2</v>
      </c>
      <c r="AF24" s="65" t="e">
        <f ca="1">OFFSET(AF24,-1,0)+AD24*dbToAbs(-1*OFFSET(AE24,-1,0))</f>
        <v>#NAME?</v>
      </c>
      <c r="AG24" s="71">
        <f>G_Lookup($A24,$E$20, AG$21,$D24)</f>
        <v>-7.0000000000000007E-2</v>
      </c>
      <c r="AH24" s="19">
        <f>Atten_to_Te(AG24,$C24)</f>
        <v>4.8746078612086574</v>
      </c>
      <c r="AI24" s="68">
        <f ca="1">AG24+OFFSET(AI24,-1,0)</f>
        <v>-7.0000000000000007E-2</v>
      </c>
      <c r="AJ24" s="65" t="e">
        <f ca="1">OFFSET(AJ24,-1,0)+AH24*dbToAbs(-1*OFFSET(AI24,-1,0))</f>
        <v>#NAME?</v>
      </c>
      <c r="AK24" s="71">
        <f>G_Lookup($A24,$E$20, AK$21,$D24)</f>
        <v>-7.3125000000000009E-2</v>
      </c>
      <c r="AL24" s="19">
        <f>Atten_to_Te(AK24,$C24)</f>
        <v>5.0940617213921291</v>
      </c>
      <c r="AM24" s="68">
        <f ca="1">AK24+OFFSET(AM24,-1,0)</f>
        <v>-7.3125000000000009E-2</v>
      </c>
      <c r="AN24" s="65" t="e">
        <f ca="1">OFFSET(AN24,-1,0)+AL24*dbToAbs(-1*OFFSET(AM24,-1,0))</f>
        <v>#NAME?</v>
      </c>
      <c r="AO24" s="71">
        <f>G_Lookup($A24,$E$20, AO$21,$D24)</f>
        <v>-7.6624999999999999E-2</v>
      </c>
      <c r="AP24" s="19">
        <f>Atten_to_Te(AO24,$C24)</f>
        <v>5.3400375881109685</v>
      </c>
      <c r="AQ24" s="68">
        <f ca="1">AO24+OFFSET(AQ24,-1,0)</f>
        <v>-7.6624999999999999E-2</v>
      </c>
      <c r="AR24" s="65" t="e">
        <f ca="1">OFFSET(AR24,-1,0)+AP24*dbToAbs(-1*OFFSET(AQ24,-1,0))</f>
        <v>#NAME?</v>
      </c>
      <c r="AS24" s="71">
        <f>G_Lookup($A24,$E$20, AS$21,$D24)</f>
        <v>-0.08</v>
      </c>
      <c r="AT24" s="19">
        <f>Atten_to_Te(AS24,$C24)</f>
        <v>5.5774164162350592</v>
      </c>
      <c r="AU24" s="68">
        <f ca="1">AS24+OFFSET(AU24,-1,0)</f>
        <v>-0.08</v>
      </c>
      <c r="AV24" s="65" t="e">
        <f ca="1">OFFSET(AV24,-1,0)+AT24*dbToAbs(-1*OFFSET(AU24,-1,0))</f>
        <v>#NAME?</v>
      </c>
      <c r="AW24" s="406"/>
      <c r="AX24" s="406"/>
      <c r="AY24" s="406"/>
      <c r="AZ24" s="406"/>
    </row>
    <row r="25" spans="1:52" s="10" customFormat="1" ht="15.5">
      <c r="A25" s="61" t="s">
        <v>6</v>
      </c>
      <c r="B25" s="98">
        <v>5</v>
      </c>
      <c r="C25" s="102">
        <f t="shared" si="98"/>
        <v>300</v>
      </c>
      <c r="D25" s="96"/>
      <c r="E25" s="71">
        <f t="shared" ref="E25:E33" si="99">G_Lookup($A25,$E$20, E$21,$D25)</f>
        <v>-0.03</v>
      </c>
      <c r="F25" s="19">
        <f t="shared" ref="F25:F29" si="100">Atten_to_Te(E25,$C25)</f>
        <v>2.0795006555412554</v>
      </c>
      <c r="G25" s="68">
        <f t="shared" ref="G25:G36" ca="1" si="101">E25+OFFSET(G25,-1,0)</f>
        <v>-8.1250000000000003E-2</v>
      </c>
      <c r="H25" s="65" t="e">
        <f ca="1">OFFSET(H25,-1,0)+F25*dbToAbs(-1*OFFSET(G25,-1,0))</f>
        <v>#NAME?</v>
      </c>
      <c r="I25" s="71">
        <f t="shared" ref="I25:I33" si="102">G_Lookup($A25,$E$20, I$21,$D25)</f>
        <v>-0.03</v>
      </c>
      <c r="J25" s="19">
        <f t="shared" ref="J25:J31" si="103">Atten_to_Te(I25,$C25)</f>
        <v>2.0795006555412554</v>
      </c>
      <c r="K25" s="68">
        <f t="shared" ref="K25:K36" ca="1" si="104">I25+OFFSET(K25,-1,0)</f>
        <v>-8.3625000000000005E-2</v>
      </c>
      <c r="L25" s="65" t="e">
        <f t="shared" ref="L25:L36" ca="1" si="105">OFFSET(L25,-1,0)+J25*dbToAbs(-1*OFFSET(K25,-1,0))</f>
        <v>#NAME?</v>
      </c>
      <c r="M25" s="71">
        <f t="shared" ref="M25:M33" si="106">G_Lookup($A25,$E$20, M$21,$D25)</f>
        <v>-0.03</v>
      </c>
      <c r="N25" s="19">
        <f t="shared" ref="N25:N29" si="107">Atten_to_Te(M25,$C25)</f>
        <v>2.0795006555412554</v>
      </c>
      <c r="O25" s="68">
        <f t="shared" ref="O25:O36" ca="1" si="108">M25+OFFSET(O25,-1,0)</f>
        <v>-8.59375E-2</v>
      </c>
      <c r="P25" s="65" t="e">
        <f t="shared" ref="P25:P36" ca="1" si="109">OFFSET(P25,-1,0)+N25*dbToAbs(-1*OFFSET(O25,-1,0))</f>
        <v>#NAME?</v>
      </c>
      <c r="Q25" s="71">
        <f t="shared" ref="Q25:Q33" si="110">G_Lookup($A25,$E$20, Q$21,$D25)</f>
        <v>-0.03</v>
      </c>
      <c r="R25" s="19">
        <f t="shared" ref="R25:R31" si="111">Atten_to_Te(Q25,$C25)</f>
        <v>2.0795006555412554</v>
      </c>
      <c r="S25" s="68">
        <f t="shared" ref="S25:S36" ca="1" si="112">Q25+OFFSET(S25,-1,0)</f>
        <v>-8.8437500000000002E-2</v>
      </c>
      <c r="T25" s="65" t="e">
        <f t="shared" ref="T25:T36" ca="1" si="113">OFFSET(T25,-1,0)+R25*dbToAbs(-1*OFFSET(S25,-1,0))</f>
        <v>#NAME?</v>
      </c>
      <c r="U25" s="71">
        <f t="shared" ref="U25:U33" si="114">G_Lookup($A25,$E$20, U$21,$D25)</f>
        <v>-3.09375E-2</v>
      </c>
      <c r="V25" s="19">
        <f t="shared" ref="V25:V31" si="115">Atten_to_Te(U25,$C25)</f>
        <v>2.144716796347268</v>
      </c>
      <c r="W25" s="68">
        <f t="shared" ref="W25:W36" ca="1" si="116">U25+OFFSET(W25,-1,0)</f>
        <v>-9.1874999999999998E-2</v>
      </c>
      <c r="X25" s="65" t="e">
        <f t="shared" ref="X25:X36" ca="1" si="117">OFFSET(X25,-1,0)+V25*dbToAbs(-1*OFFSET(W25,-1,0))</f>
        <v>#NAME?</v>
      </c>
      <c r="Y25" s="71">
        <f t="shared" ref="Y25:Y33" si="118">G_Lookup($A25,$E$20, Y$21,$D25)</f>
        <v>-3.3750000000000002E-2</v>
      </c>
      <c r="Z25" s="19">
        <f t="shared" ref="Z25:Z31" si="119">Atten_to_Te(Y25,$C25)</f>
        <v>2.3404497082560427</v>
      </c>
      <c r="AA25" s="68">
        <f t="shared" ref="AA25:AA36" ca="1" si="120">Y25+OFFSET(AA25,-1,0)</f>
        <v>-9.7500000000000003E-2</v>
      </c>
      <c r="AB25" s="65" t="e">
        <f t="shared" ref="AB25:AB36" ca="1" si="121">OFFSET(AB25,-1,0)+Z25*dbToAbs(-1*OFFSET(AA25,-1,0))</f>
        <v>#NAME?</v>
      </c>
      <c r="AC25" s="71">
        <f t="shared" ref="AC25:AC33" si="122">G_Lookup($A25,$E$20, AC$21,$D25)</f>
        <v>-3.6874999999999998E-2</v>
      </c>
      <c r="AD25" s="19">
        <f t="shared" ref="AD25:AD31" si="123">Atten_to_Te(AC25,$C25)</f>
        <v>2.5580794388641248</v>
      </c>
      <c r="AE25" s="68">
        <f t="shared" ref="AE25:AE36" ca="1" si="124">AC25+OFFSET(AE25,-1,0)</f>
        <v>-0.10375000000000001</v>
      </c>
      <c r="AF25" s="65" t="e">
        <f t="shared" ref="AF25:AF36" ca="1" si="125">OFFSET(AF25,-1,0)+AD25*dbToAbs(-1*OFFSET(AE25,-1,0))</f>
        <v>#NAME?</v>
      </c>
      <c r="AG25" s="71">
        <f t="shared" ref="AG25:AG33" si="126">G_Lookup($A25,$E$20, AG$21,$D25)</f>
        <v>-0.04</v>
      </c>
      <c r="AH25" s="19">
        <f t="shared" ref="AH25:AH31" si="127">Atten_to_Te(AG25,$C25)</f>
        <v>2.7758658230053523</v>
      </c>
      <c r="AI25" s="68">
        <f t="shared" ref="AI25:AI36" ca="1" si="128">AG25+OFFSET(AI25,-1,0)</f>
        <v>-0.11000000000000001</v>
      </c>
      <c r="AJ25" s="65" t="e">
        <f t="shared" ref="AJ25:AJ36" ca="1" si="129">OFFSET(AJ25,-1,0)+AH25*dbToAbs(-1*OFFSET(AI25,-1,0))</f>
        <v>#NAME?</v>
      </c>
      <c r="AK25" s="71">
        <f t="shared" ref="AK25:AK33" si="130">G_Lookup($A25,$E$20, AK$21,$D25)</f>
        <v>-4.3125000000000004E-2</v>
      </c>
      <c r="AL25" s="19">
        <f t="shared" ref="AL25:AL31" si="131">Atten_to_Te(AK25,$C25)</f>
        <v>2.9938089734414586</v>
      </c>
      <c r="AM25" s="68">
        <f t="shared" ref="AM25:AM36" ca="1" si="132">AK25+OFFSET(AM25,-1,0)</f>
        <v>-0.11625000000000002</v>
      </c>
      <c r="AN25" s="65" t="e">
        <f t="shared" ref="AN25:AN36" ca="1" si="133">OFFSET(AN25,-1,0)+AL25*dbToAbs(-1*OFFSET(AM25,-1,0))</f>
        <v>#NAME?</v>
      </c>
      <c r="AO25" s="71">
        <f t="shared" ref="AO25:AO33" si="134">G_Lookup($A25,$E$20, AO$21,$D25)</f>
        <v>-4.6625E-2</v>
      </c>
      <c r="AP25" s="19">
        <f t="shared" ref="AP25:AP29" si="135">Atten_to_Te(AO25,$C25)</f>
        <v>3.238091554204181</v>
      </c>
      <c r="AQ25" s="68">
        <f t="shared" ref="AQ25:AQ36" ca="1" si="136">AO25+OFFSET(AQ25,-1,0)</f>
        <v>-0.12325</v>
      </c>
      <c r="AR25" s="65" t="e">
        <f t="shared" ref="AR25:AR36" ca="1" si="137">OFFSET(AR25,-1,0)+AP25*dbToAbs(-1*OFFSET(AQ25,-1,0))</f>
        <v>#NAME?</v>
      </c>
      <c r="AS25" s="71">
        <f t="shared" ref="AS25:AS33" si="138">G_Lookup($A25,$E$20, AS$21,$D25)</f>
        <v>-0.05</v>
      </c>
      <c r="AT25" s="19">
        <f t="shared" ref="AT25:AT29" si="139">Atten_to_Te(AS25,$C25)</f>
        <v>3.4738362779695775</v>
      </c>
      <c r="AU25" s="68">
        <f t="shared" ref="AU25:AU36" ca="1" si="140">AS25+OFFSET(AU25,-1,0)</f>
        <v>-0.13</v>
      </c>
      <c r="AV25" s="65" t="e">
        <f t="shared" ref="AV25:AV36" ca="1" si="141">OFFSET(AV25,-1,0)+AT25*dbToAbs(-1*OFFSET(AU25,-1,0))</f>
        <v>#NAME?</v>
      </c>
      <c r="AW25" s="406"/>
      <c r="AX25" s="406"/>
      <c r="AY25" s="406"/>
      <c r="AZ25" s="406"/>
    </row>
    <row r="26" spans="1:52" s="10" customFormat="1" ht="15.5">
      <c r="A26" s="61" t="s">
        <v>8</v>
      </c>
      <c r="B26" s="98">
        <v>4</v>
      </c>
      <c r="C26" s="102">
        <f t="shared" si="98"/>
        <v>190</v>
      </c>
      <c r="D26" s="96"/>
      <c r="E26" s="71">
        <f t="shared" si="99"/>
        <v>-0.03</v>
      </c>
      <c r="F26" s="19">
        <f t="shared" si="100"/>
        <v>1.3170170818427951</v>
      </c>
      <c r="G26" s="68">
        <f t="shared" ca="1" si="101"/>
        <v>-0.11125</v>
      </c>
      <c r="H26" s="65" t="e">
        <f t="shared" ref="H26:H36" ca="1" si="142">OFFSET(H26,-1,0)+F26*dbToAbs(-1*OFFSET(G26,-1,0))</f>
        <v>#NAME?</v>
      </c>
      <c r="I26" s="71">
        <f t="shared" si="102"/>
        <v>-0.03</v>
      </c>
      <c r="J26" s="19">
        <f t="shared" si="103"/>
        <v>1.3170170818427951</v>
      </c>
      <c r="K26" s="68">
        <f t="shared" ca="1" si="104"/>
        <v>-0.113625</v>
      </c>
      <c r="L26" s="65" t="e">
        <f t="shared" ca="1" si="105"/>
        <v>#NAME?</v>
      </c>
      <c r="M26" s="71">
        <f t="shared" si="106"/>
        <v>-0.03</v>
      </c>
      <c r="N26" s="19">
        <f t="shared" si="107"/>
        <v>1.3170170818427951</v>
      </c>
      <c r="O26" s="68">
        <f t="shared" ca="1" si="108"/>
        <v>-0.1159375</v>
      </c>
      <c r="P26" s="65" t="e">
        <f t="shared" ca="1" si="109"/>
        <v>#NAME?</v>
      </c>
      <c r="Q26" s="71">
        <f t="shared" si="110"/>
        <v>-0.03</v>
      </c>
      <c r="R26" s="19">
        <f t="shared" si="111"/>
        <v>1.3170170818427951</v>
      </c>
      <c r="S26" s="68">
        <f t="shared" ca="1" si="112"/>
        <v>-0.1184375</v>
      </c>
      <c r="T26" s="65" t="e">
        <f t="shared" ca="1" si="113"/>
        <v>#NAME?</v>
      </c>
      <c r="U26" s="71">
        <f t="shared" si="114"/>
        <v>-3.09375E-2</v>
      </c>
      <c r="V26" s="19">
        <f t="shared" si="115"/>
        <v>1.358320637686603</v>
      </c>
      <c r="W26" s="68">
        <f t="shared" ca="1" si="116"/>
        <v>-0.12281249999999999</v>
      </c>
      <c r="X26" s="65" t="e">
        <f t="shared" ca="1" si="117"/>
        <v>#NAME?</v>
      </c>
      <c r="Y26" s="71">
        <f t="shared" si="118"/>
        <v>-3.3750000000000002E-2</v>
      </c>
      <c r="Z26" s="19">
        <f t="shared" si="119"/>
        <v>1.482284815228827</v>
      </c>
      <c r="AA26" s="68">
        <f t="shared" ca="1" si="120"/>
        <v>-0.13125000000000001</v>
      </c>
      <c r="AB26" s="65" t="e">
        <f t="shared" ca="1" si="121"/>
        <v>#NAME?</v>
      </c>
      <c r="AC26" s="71">
        <f t="shared" si="122"/>
        <v>-3.6874999999999998E-2</v>
      </c>
      <c r="AD26" s="19">
        <f t="shared" si="123"/>
        <v>1.620116977947279</v>
      </c>
      <c r="AE26" s="68">
        <f t="shared" ca="1" si="124"/>
        <v>-0.140625</v>
      </c>
      <c r="AF26" s="65" t="e">
        <f t="shared" ca="1" si="125"/>
        <v>#NAME?</v>
      </c>
      <c r="AG26" s="71">
        <f t="shared" si="126"/>
        <v>-0.04</v>
      </c>
      <c r="AH26" s="19">
        <f t="shared" si="127"/>
        <v>1.7580483545700565</v>
      </c>
      <c r="AI26" s="68">
        <f t="shared" ca="1" si="128"/>
        <v>-0.15000000000000002</v>
      </c>
      <c r="AJ26" s="65" t="e">
        <f t="shared" ca="1" si="129"/>
        <v>#NAME?</v>
      </c>
      <c r="AK26" s="71">
        <f t="shared" si="130"/>
        <v>-4.3125000000000004E-2</v>
      </c>
      <c r="AL26" s="19">
        <f t="shared" si="131"/>
        <v>1.8960790165129238</v>
      </c>
      <c r="AM26" s="68">
        <f t="shared" ca="1" si="132"/>
        <v>-0.15937500000000002</v>
      </c>
      <c r="AN26" s="65" t="e">
        <f t="shared" ca="1" si="133"/>
        <v>#NAME?</v>
      </c>
      <c r="AO26" s="71">
        <f t="shared" si="134"/>
        <v>-4.6625E-2</v>
      </c>
      <c r="AP26" s="19">
        <f t="shared" si="135"/>
        <v>2.050791317662648</v>
      </c>
      <c r="AQ26" s="68">
        <f t="shared" ca="1" si="136"/>
        <v>-0.169875</v>
      </c>
      <c r="AR26" s="65" t="e">
        <f t="shared" ca="1" si="137"/>
        <v>#NAME?</v>
      </c>
      <c r="AS26" s="71">
        <f t="shared" si="138"/>
        <v>-0.05</v>
      </c>
      <c r="AT26" s="19">
        <f t="shared" si="139"/>
        <v>2.2000963093807324</v>
      </c>
      <c r="AU26" s="68">
        <f t="shared" ca="1" si="140"/>
        <v>-0.18</v>
      </c>
      <c r="AV26" s="65" t="e">
        <f t="shared" ca="1" si="141"/>
        <v>#NAME?</v>
      </c>
      <c r="AW26" s="406"/>
      <c r="AX26" s="406"/>
      <c r="AY26" s="406"/>
      <c r="AZ26" s="406"/>
    </row>
    <row r="27" spans="1:52" s="10" customFormat="1" ht="15.5">
      <c r="A27" s="61" t="s">
        <v>9</v>
      </c>
      <c r="B27" s="98">
        <v>1</v>
      </c>
      <c r="C27" s="102">
        <f t="shared" si="98"/>
        <v>20</v>
      </c>
      <c r="D27" s="96"/>
      <c r="E27" s="71">
        <f t="shared" si="99"/>
        <v>-5.1250000000000004E-2</v>
      </c>
      <c r="F27" s="19">
        <f t="shared" si="100"/>
        <v>0.23741304272201891</v>
      </c>
      <c r="G27" s="68">
        <f t="shared" ca="1" si="101"/>
        <v>-0.16250000000000001</v>
      </c>
      <c r="H27" s="65" t="e">
        <f t="shared" ca="1" si="142"/>
        <v>#NAME?</v>
      </c>
      <c r="I27" s="71">
        <f t="shared" si="102"/>
        <v>-5.3624999999999999E-2</v>
      </c>
      <c r="J27" s="19">
        <f t="shared" si="103"/>
        <v>0.24848318120433976</v>
      </c>
      <c r="K27" s="68">
        <f t="shared" ca="1" si="104"/>
        <v>-0.16725000000000001</v>
      </c>
      <c r="L27" s="65" t="e">
        <f t="shared" ca="1" si="105"/>
        <v>#NAME?</v>
      </c>
      <c r="M27" s="71">
        <f t="shared" si="106"/>
        <v>-5.5937500000000001E-2</v>
      </c>
      <c r="N27" s="19">
        <f t="shared" si="107"/>
        <v>0.25926781880366345</v>
      </c>
      <c r="O27" s="68">
        <f t="shared" ca="1" si="108"/>
        <v>-0.171875</v>
      </c>
      <c r="P27" s="65" t="e">
        <f t="shared" ca="1" si="109"/>
        <v>#NAME?</v>
      </c>
      <c r="Q27" s="71">
        <f t="shared" si="110"/>
        <v>-5.8437499999999996E-2</v>
      </c>
      <c r="R27" s="19">
        <f t="shared" si="111"/>
        <v>0.27093334810940117</v>
      </c>
      <c r="S27" s="68">
        <f t="shared" ca="1" si="112"/>
        <v>-0.176875</v>
      </c>
      <c r="T27" s="65" t="e">
        <f t="shared" ca="1" si="113"/>
        <v>#NAME?</v>
      </c>
      <c r="U27" s="71">
        <f t="shared" si="114"/>
        <v>-6.0937499999999999E-2</v>
      </c>
      <c r="V27" s="19">
        <f t="shared" si="115"/>
        <v>0.28260559456677825</v>
      </c>
      <c r="W27" s="68">
        <f t="shared" ca="1" si="116"/>
        <v>-0.18375</v>
      </c>
      <c r="X27" s="65" t="e">
        <f t="shared" ca="1" si="117"/>
        <v>#NAME?</v>
      </c>
      <c r="Y27" s="71">
        <f t="shared" si="118"/>
        <v>-6.3750000000000001E-2</v>
      </c>
      <c r="Z27" s="19">
        <f t="shared" si="119"/>
        <v>0.29574490574261425</v>
      </c>
      <c r="AA27" s="68">
        <f t="shared" ca="1" si="120"/>
        <v>-0.19500000000000001</v>
      </c>
      <c r="AB27" s="65" t="e">
        <f t="shared" ca="1" si="121"/>
        <v>#NAME?</v>
      </c>
      <c r="AC27" s="71">
        <f t="shared" si="122"/>
        <v>-6.6875000000000004E-2</v>
      </c>
      <c r="AD27" s="19">
        <f t="shared" si="123"/>
        <v>0.31035412359814885</v>
      </c>
      <c r="AE27" s="68">
        <f t="shared" ca="1" si="124"/>
        <v>-0.20750000000000002</v>
      </c>
      <c r="AF27" s="65" t="e">
        <f t="shared" ca="1" si="125"/>
        <v>#NAME?</v>
      </c>
      <c r="AG27" s="71">
        <f t="shared" si="126"/>
        <v>-7.0000000000000007E-2</v>
      </c>
      <c r="AH27" s="19">
        <f t="shared" si="127"/>
        <v>0.32497385741391049</v>
      </c>
      <c r="AI27" s="68">
        <f t="shared" ca="1" si="128"/>
        <v>-0.22000000000000003</v>
      </c>
      <c r="AJ27" s="65" t="e">
        <f t="shared" ca="1" si="129"/>
        <v>#NAME?</v>
      </c>
      <c r="AK27" s="71">
        <f t="shared" si="130"/>
        <v>-7.3125000000000009E-2</v>
      </c>
      <c r="AL27" s="19">
        <f t="shared" si="131"/>
        <v>0.33960411475947527</v>
      </c>
      <c r="AM27" s="68">
        <f t="shared" ca="1" si="132"/>
        <v>-0.23250000000000004</v>
      </c>
      <c r="AN27" s="65" t="e">
        <f t="shared" ca="1" si="133"/>
        <v>#NAME?</v>
      </c>
      <c r="AO27" s="71">
        <f t="shared" si="134"/>
        <v>-7.6624999999999999E-2</v>
      </c>
      <c r="AP27" s="19">
        <f t="shared" si="135"/>
        <v>0.35600250587406457</v>
      </c>
      <c r="AQ27" s="68">
        <f t="shared" ca="1" si="136"/>
        <v>-0.2465</v>
      </c>
      <c r="AR27" s="65" t="e">
        <f t="shared" ca="1" si="137"/>
        <v>#NAME?</v>
      </c>
      <c r="AS27" s="71">
        <f t="shared" si="138"/>
        <v>-0.08</v>
      </c>
      <c r="AT27" s="19">
        <f t="shared" si="139"/>
        <v>0.37182776108233728</v>
      </c>
      <c r="AU27" s="68">
        <f t="shared" ca="1" si="140"/>
        <v>-0.26</v>
      </c>
      <c r="AV27" s="65" t="e">
        <f t="shared" ca="1" si="141"/>
        <v>#NAME?</v>
      </c>
      <c r="AW27" s="406"/>
      <c r="AX27" s="406"/>
      <c r="AY27" s="406"/>
      <c r="AZ27" s="406"/>
    </row>
    <row r="28" spans="1:52" s="76" customFormat="1" ht="15.5">
      <c r="A28" s="73" t="s">
        <v>109</v>
      </c>
      <c r="B28" s="98">
        <v>1</v>
      </c>
      <c r="C28" s="102">
        <f t="shared" si="98"/>
        <v>20</v>
      </c>
      <c r="D28" s="103"/>
      <c r="E28" s="71">
        <f t="shared" si="99"/>
        <v>-0.23694729813040316</v>
      </c>
      <c r="F28" s="19">
        <f t="shared" si="100"/>
        <v>1.1214984404028661</v>
      </c>
      <c r="G28" s="74">
        <f t="shared" ca="1" si="101"/>
        <v>-0.39944729813040314</v>
      </c>
      <c r="H28" s="75" t="e">
        <f t="shared" ca="1" si="142"/>
        <v>#NAME?</v>
      </c>
      <c r="I28" s="71">
        <f t="shared" si="102"/>
        <v>-0.20900222361928111</v>
      </c>
      <c r="J28" s="19">
        <f t="shared" si="103"/>
        <v>0.98602655295430441</v>
      </c>
      <c r="K28" s="74">
        <f t="shared" ca="1" si="104"/>
        <v>-0.37625222361928112</v>
      </c>
      <c r="L28" s="75" t="e">
        <f t="shared" ca="1" si="105"/>
        <v>#NAME?</v>
      </c>
      <c r="M28" s="71">
        <f t="shared" si="106"/>
        <v>-0.19124635084658179</v>
      </c>
      <c r="N28" s="19">
        <f t="shared" si="107"/>
        <v>0.90040158143454008</v>
      </c>
      <c r="O28" s="74">
        <f t="shared" ca="1" si="108"/>
        <v>-0.36312135084658181</v>
      </c>
      <c r="P28" s="75" t="e">
        <f t="shared" ca="1" si="109"/>
        <v>#NAME?</v>
      </c>
      <c r="Q28" s="71">
        <f t="shared" si="110"/>
        <v>-0.17813457990692261</v>
      </c>
      <c r="R28" s="19">
        <f t="shared" si="111"/>
        <v>0.83739640248216229</v>
      </c>
      <c r="S28" s="74">
        <f t="shared" ca="1" si="112"/>
        <v>-0.35500957990692261</v>
      </c>
      <c r="T28" s="75" t="e">
        <f t="shared" ca="1" si="113"/>
        <v>#NAME?</v>
      </c>
      <c r="U28" s="71">
        <f t="shared" si="114"/>
        <v>-0.1683342826985148</v>
      </c>
      <c r="V28" s="19">
        <f t="shared" si="115"/>
        <v>0.79042771046279103</v>
      </c>
      <c r="W28" s="74">
        <f t="shared" ca="1" si="116"/>
        <v>-0.35208428269851477</v>
      </c>
      <c r="X28" s="75" t="e">
        <f t="shared" ca="1" si="117"/>
        <v>#NAME?</v>
      </c>
      <c r="Y28" s="71">
        <f t="shared" si="118"/>
        <v>-0.16026414747833426</v>
      </c>
      <c r="Z28" s="19">
        <f t="shared" si="119"/>
        <v>0.75183045005437155</v>
      </c>
      <c r="AA28" s="74">
        <f t="shared" ca="1" si="120"/>
        <v>-0.35526414747833424</v>
      </c>
      <c r="AB28" s="75" t="e">
        <f t="shared" ca="1" si="121"/>
        <v>#NAME?</v>
      </c>
      <c r="AC28" s="71">
        <f t="shared" si="122"/>
        <v>-0.15367153678293444</v>
      </c>
      <c r="AD28" s="19">
        <f t="shared" si="123"/>
        <v>0.72035297119211528</v>
      </c>
      <c r="AE28" s="74">
        <f t="shared" ca="1" si="124"/>
        <v>-0.36117153678293445</v>
      </c>
      <c r="AF28" s="75" t="e">
        <f t="shared" ca="1" si="125"/>
        <v>#NAME?</v>
      </c>
      <c r="AG28" s="71">
        <f t="shared" si="126"/>
        <v>-0.14879192027473984</v>
      </c>
      <c r="AH28" s="19">
        <f t="shared" si="127"/>
        <v>0.69708521138363011</v>
      </c>
      <c r="AI28" s="74">
        <f t="shared" ca="1" si="128"/>
        <v>-0.36879192027473984</v>
      </c>
      <c r="AJ28" s="75" t="e">
        <f t="shared" ca="1" si="129"/>
        <v>#NAME?</v>
      </c>
      <c r="AK28" s="71">
        <f t="shared" si="130"/>
        <v>-0.1452971090222101</v>
      </c>
      <c r="AL28" s="19">
        <f t="shared" si="131"/>
        <v>0.68043675882373034</v>
      </c>
      <c r="AM28" s="74">
        <f t="shared" ca="1" si="132"/>
        <v>-0.37779710902221014</v>
      </c>
      <c r="AN28" s="75" t="e">
        <f t="shared" ca="1" si="133"/>
        <v>#NAME?</v>
      </c>
      <c r="AO28" s="71">
        <f t="shared" si="134"/>
        <v>-0.14238212974380035</v>
      </c>
      <c r="AP28" s="19">
        <f t="shared" si="135"/>
        <v>0.66656073214045097</v>
      </c>
      <c r="AQ28" s="74">
        <f t="shared" ca="1" si="136"/>
        <v>-0.38888212974380032</v>
      </c>
      <c r="AR28" s="75" t="e">
        <f t="shared" ca="1" si="137"/>
        <v>#NAME?</v>
      </c>
      <c r="AS28" s="71">
        <f t="shared" si="138"/>
        <v>-0.14031544565010912</v>
      </c>
      <c r="AT28" s="19">
        <f t="shared" si="139"/>
        <v>0.65672844248640061</v>
      </c>
      <c r="AU28" s="74">
        <f t="shared" ca="1" si="140"/>
        <v>-0.40031544565010913</v>
      </c>
      <c r="AV28" s="75" t="e">
        <f t="shared" ca="1" si="141"/>
        <v>#NAME?</v>
      </c>
      <c r="AW28" s="406"/>
      <c r="AX28" s="406"/>
      <c r="AY28" s="406"/>
      <c r="AZ28" s="406"/>
    </row>
    <row r="29" spans="1:52" s="10" customFormat="1" ht="15.5">
      <c r="A29" s="61" t="s">
        <v>293</v>
      </c>
      <c r="B29" s="98">
        <v>1</v>
      </c>
      <c r="C29" s="102">
        <f t="shared" si="98"/>
        <v>20</v>
      </c>
      <c r="D29" s="96"/>
      <c r="E29" s="71">
        <f t="shared" si="99"/>
        <v>-0.15</v>
      </c>
      <c r="F29" s="19">
        <f t="shared" si="100"/>
        <v>0.70284333358687778</v>
      </c>
      <c r="G29" s="68">
        <f t="shared" ca="1" si="101"/>
        <v>-0.54944729813040316</v>
      </c>
      <c r="H29" s="65" t="e">
        <f t="shared" ca="1" si="142"/>
        <v>#NAME?</v>
      </c>
      <c r="I29" s="71">
        <f t="shared" si="102"/>
        <v>-0.13</v>
      </c>
      <c r="J29" s="19">
        <f t="shared" si="103"/>
        <v>0.60772240883232076</v>
      </c>
      <c r="K29" s="68">
        <f t="shared" ca="1" si="104"/>
        <v>-0.50625222361928113</v>
      </c>
      <c r="L29" s="65" t="e">
        <f t="shared" ca="1" si="105"/>
        <v>#NAME?</v>
      </c>
      <c r="M29" s="71">
        <f t="shared" si="106"/>
        <v>-0.12</v>
      </c>
      <c r="N29" s="19">
        <f t="shared" si="107"/>
        <v>0.56032596252947098</v>
      </c>
      <c r="O29" s="68">
        <f t="shared" ca="1" si="108"/>
        <v>-0.48312135084658181</v>
      </c>
      <c r="P29" s="65" t="e">
        <f t="shared" ca="1" si="109"/>
        <v>#NAME?</v>
      </c>
      <c r="Q29" s="71">
        <f t="shared" si="110"/>
        <v>-0.11</v>
      </c>
      <c r="R29" s="19">
        <f t="shared" si="111"/>
        <v>0.51303852502815328</v>
      </c>
      <c r="S29" s="68">
        <f t="shared" ca="1" si="112"/>
        <v>-0.4650095799069226</v>
      </c>
      <c r="T29" s="65" t="e">
        <f t="shared" ca="1" si="113"/>
        <v>#NAME?</v>
      </c>
      <c r="U29" s="71">
        <f t="shared" si="114"/>
        <v>-0.11</v>
      </c>
      <c r="V29" s="19">
        <f t="shared" si="115"/>
        <v>0.51303852502815328</v>
      </c>
      <c r="W29" s="68">
        <f t="shared" ca="1" si="116"/>
        <v>-0.46208428269851476</v>
      </c>
      <c r="X29" s="65" t="e">
        <f t="shared" ca="1" si="117"/>
        <v>#NAME?</v>
      </c>
      <c r="Y29" s="71">
        <f t="shared" si="118"/>
        <v>-0.11</v>
      </c>
      <c r="Z29" s="19">
        <f t="shared" si="119"/>
        <v>0.51303852502815328</v>
      </c>
      <c r="AA29" s="68">
        <f t="shared" ca="1" si="120"/>
        <v>-0.46526414747833422</v>
      </c>
      <c r="AB29" s="65" t="e">
        <f t="shared" ca="1" si="121"/>
        <v>#NAME?</v>
      </c>
      <c r="AC29" s="71">
        <f t="shared" si="122"/>
        <v>-0.1</v>
      </c>
      <c r="AD29" s="19">
        <f t="shared" si="123"/>
        <v>0.46585984561508198</v>
      </c>
      <c r="AE29" s="68">
        <f t="shared" ca="1" si="124"/>
        <v>-0.46117153678293443</v>
      </c>
      <c r="AF29" s="65" t="e">
        <f t="shared" ca="1" si="125"/>
        <v>#NAME?</v>
      </c>
      <c r="AG29" s="71">
        <f t="shared" si="126"/>
        <v>-0.1</v>
      </c>
      <c r="AH29" s="19">
        <f t="shared" si="127"/>
        <v>0.46585984561508198</v>
      </c>
      <c r="AI29" s="68">
        <f t="shared" ca="1" si="128"/>
        <v>-0.46879192027473982</v>
      </c>
      <c r="AJ29" s="65" t="e">
        <f t="shared" ca="1" si="129"/>
        <v>#NAME?</v>
      </c>
      <c r="AK29" s="71">
        <f t="shared" si="130"/>
        <v>-0.1</v>
      </c>
      <c r="AL29" s="19">
        <f t="shared" si="131"/>
        <v>0.46585984561508198</v>
      </c>
      <c r="AM29" s="68">
        <f t="shared" ca="1" si="132"/>
        <v>-0.47779710902221018</v>
      </c>
      <c r="AN29" s="65" t="e">
        <f t="shared" ca="1" si="133"/>
        <v>#NAME?</v>
      </c>
      <c r="AO29" s="71">
        <f t="shared" si="134"/>
        <v>-0.1</v>
      </c>
      <c r="AP29" s="19">
        <f t="shared" si="135"/>
        <v>0.46585984561508198</v>
      </c>
      <c r="AQ29" s="68">
        <f t="shared" ca="1" si="136"/>
        <v>-0.4888821297438003</v>
      </c>
      <c r="AR29" s="65" t="e">
        <f t="shared" ca="1" si="137"/>
        <v>#NAME?</v>
      </c>
      <c r="AS29" s="71">
        <f t="shared" si="138"/>
        <v>-0.1</v>
      </c>
      <c r="AT29" s="19">
        <f t="shared" si="139"/>
        <v>0.46585984561508198</v>
      </c>
      <c r="AU29" s="68">
        <f t="shared" ca="1" si="140"/>
        <v>-0.5003154456501091</v>
      </c>
      <c r="AV29" s="65" t="e">
        <f t="shared" ca="1" si="141"/>
        <v>#NAME?</v>
      </c>
      <c r="AW29" s="406"/>
      <c r="AX29" s="406"/>
      <c r="AY29" s="406"/>
      <c r="AZ29" s="406"/>
    </row>
    <row r="30" spans="1:52" s="17" customFormat="1" ht="15.5">
      <c r="A30" s="63" t="s">
        <v>169</v>
      </c>
      <c r="B30" s="98">
        <v>4</v>
      </c>
      <c r="C30" s="102">
        <f t="shared" si="98"/>
        <v>190</v>
      </c>
      <c r="D30" s="97"/>
      <c r="E30" s="114">
        <f>G_Lookup($A30,$E$20, E$21,$D30)</f>
        <v>0</v>
      </c>
      <c r="F30" s="115">
        <f>T_LNA($A30, E$21,$C30)</f>
        <v>9.5225574389181777E-2</v>
      </c>
      <c r="G30" s="68">
        <f t="shared" ref="G30" ca="1" si="143">E30+OFFSET(G30,-1,0)</f>
        <v>-0.54944729813040316</v>
      </c>
      <c r="H30" s="65" t="e">
        <f t="shared" ref="H30" ca="1" si="144">OFFSET(H30,-1,0)+F30*dbToAbs(-1*OFFSET(G30,-1,0))</f>
        <v>#NAME?</v>
      </c>
      <c r="I30" s="114">
        <f>G_Lookup($A30,$E$20, I$21,$D30)</f>
        <v>0</v>
      </c>
      <c r="J30" s="115">
        <f>T_LNA($A30, I$21,$C30)</f>
        <v>0.12267430351658455</v>
      </c>
      <c r="K30" s="68">
        <f t="shared" ref="K30" ca="1" si="145">I30+OFFSET(K30,-1,0)</f>
        <v>-0.50625222361928113</v>
      </c>
      <c r="L30" s="65" t="e">
        <f t="shared" ref="L30" ca="1" si="146">OFFSET(L30,-1,0)+J30*dbToAbs(-1*OFFSET(K30,-1,0))</f>
        <v>#NAME?</v>
      </c>
      <c r="M30" s="114">
        <f>G_Lookup($A30,$E$20, M$21,$D30)</f>
        <v>0</v>
      </c>
      <c r="N30" s="115">
        <f>T_LNA($A30, M$21,$C30)</f>
        <v>0.1441297392555449</v>
      </c>
      <c r="O30" s="68">
        <f t="shared" ca="1" si="108"/>
        <v>-0.48312135084658181</v>
      </c>
      <c r="P30" s="65" t="e">
        <f t="shared" ca="1" si="109"/>
        <v>#NAME?</v>
      </c>
      <c r="Q30" s="114">
        <f>G_Lookup($A30,$E$20, Q$21,$D30)</f>
        <v>0</v>
      </c>
      <c r="R30" s="115">
        <f>T_LNA($A30, Q$21,$C30)</f>
        <v>0.1654830820916553</v>
      </c>
      <c r="S30" s="68">
        <f t="shared" ref="S30" ca="1" si="147">Q30+OFFSET(S30,-1,0)</f>
        <v>-0.4650095799069226</v>
      </c>
      <c r="T30" s="65" t="e">
        <f t="shared" ref="T30" ca="1" si="148">OFFSET(T30,-1,0)+R30*dbToAbs(-1*OFFSET(S30,-1,0))</f>
        <v>#NAME?</v>
      </c>
      <c r="U30" s="114">
        <f>G_Lookup($A30,$E$20, U$21,$D30)</f>
        <v>0</v>
      </c>
      <c r="V30" s="115">
        <f>T_LNA($A30, U$21,$C30)</f>
        <v>0.17731831715142821</v>
      </c>
      <c r="W30" s="68">
        <f t="shared" ref="W30" ca="1" si="149">U30+OFFSET(W30,-1,0)</f>
        <v>-0.46208428269851476</v>
      </c>
      <c r="X30" s="65" t="e">
        <f t="shared" ref="X30" ca="1" si="150">OFFSET(X30,-1,0)+V30*dbToAbs(-1*OFFSET(W30,-1,0))</f>
        <v>#NAME?</v>
      </c>
      <c r="Y30" s="114">
        <f>G_Lookup($A30,$E$20, Y$21,$D30)</f>
        <v>0</v>
      </c>
      <c r="Z30" s="115">
        <f>T_LNA($A30, Y$21,$C30)</f>
        <v>0.18567507198160393</v>
      </c>
      <c r="AA30" s="68">
        <f t="shared" ref="AA30" ca="1" si="151">Y30+OFFSET(AA30,-1,0)</f>
        <v>-0.46526414747833422</v>
      </c>
      <c r="AB30" s="65" t="e">
        <f t="shared" ref="AB30" ca="1" si="152">OFFSET(AB30,-1,0)+Z30*dbToAbs(-1*OFFSET(AA30,-1,0))</f>
        <v>#NAME?</v>
      </c>
      <c r="AC30" s="114">
        <f>G_Lookup($A30,$E$20, AC$21,$D30)</f>
        <v>0</v>
      </c>
      <c r="AD30" s="115">
        <f>T_LNA($A30, AC$21,$C30)</f>
        <v>0.18567507198160393</v>
      </c>
      <c r="AE30" s="68">
        <f t="shared" ref="AE30" ca="1" si="153">AC30+OFFSET(AE30,-1,0)</f>
        <v>-0.46117153678293443</v>
      </c>
      <c r="AF30" s="65" t="e">
        <f t="shared" ref="AF30" ca="1" si="154">OFFSET(AF30,-1,0)+AD30*dbToAbs(-1*OFFSET(AE30,-1,0))</f>
        <v>#NAME?</v>
      </c>
      <c r="AG30" s="114">
        <f>G_Lookup($A30,$E$20, AG$21,$D30)</f>
        <v>0</v>
      </c>
      <c r="AH30" s="115">
        <f>T_LNA($A30, AG$21,$C30)</f>
        <v>0.17731831715142821</v>
      </c>
      <c r="AI30" s="68">
        <f t="shared" ref="AI30" ca="1" si="155">AG30+OFFSET(AI30,-1,0)</f>
        <v>-0.46879192027473982</v>
      </c>
      <c r="AJ30" s="65" t="e">
        <f t="shared" ref="AJ30" ca="1" si="156">OFFSET(AJ30,-1,0)+AH30*dbToAbs(-1*OFFSET(AI30,-1,0))</f>
        <v>#NAME?</v>
      </c>
      <c r="AK30" s="114">
        <f>G_Lookup($A30,$E$20, AK$21,$D30)</f>
        <v>0</v>
      </c>
      <c r="AL30" s="115">
        <f>T_LNA($A30, AK$21,$C30)</f>
        <v>0.1654830820916553</v>
      </c>
      <c r="AM30" s="68">
        <f t="shared" ref="AM30" ca="1" si="157">AK30+OFFSET(AM30,-1,0)</f>
        <v>-0.47779710902221018</v>
      </c>
      <c r="AN30" s="65" t="e">
        <f t="shared" ref="AN30" ca="1" si="158">OFFSET(AN30,-1,0)+AL30*dbToAbs(-1*OFFSET(AM30,-1,0))</f>
        <v>#NAME?</v>
      </c>
      <c r="AO30" s="114">
        <f>G_Lookup($A30,$E$20, AO$21,$D30)</f>
        <v>0</v>
      </c>
      <c r="AP30" s="115">
        <f>T_LNA($A30, AO$21,$C30)</f>
        <v>0.15092236459761346</v>
      </c>
      <c r="AQ30" s="68">
        <f t="shared" ref="AQ30" ca="1" si="159">AO30+OFFSET(AQ30,-1,0)</f>
        <v>-0.4888821297438003</v>
      </c>
      <c r="AR30" s="65" t="e">
        <f t="shared" ref="AR30" ca="1" si="160">OFFSET(AR30,-1,0)+AP30*dbToAbs(-1*OFFSET(AQ30,-1,0))</f>
        <v>#NAME?</v>
      </c>
      <c r="AS30" s="114">
        <f>G_Lookup($A30,$E$20, AS$21,$D30)</f>
        <v>0</v>
      </c>
      <c r="AT30" s="115">
        <f>T_LNA($A30, AS$21,$C30)</f>
        <v>0.17328205947762282</v>
      </c>
      <c r="AU30" s="68">
        <f t="shared" ref="AU30" ca="1" si="161">AS30+OFFSET(AU30,-1,0)</f>
        <v>-0.5003154456501091</v>
      </c>
      <c r="AV30" s="65" t="e">
        <f t="shared" ref="AV30" ca="1" si="162">OFFSET(AV30,-1,0)+AT30*dbToAbs(-1*OFFSET(AU30,-1,0))</f>
        <v>#NAME?</v>
      </c>
      <c r="AW30" s="408"/>
      <c r="AX30" s="407"/>
      <c r="AY30" s="408"/>
      <c r="AZ30" s="408"/>
    </row>
    <row r="31" spans="1:52" s="10" customFormat="1" ht="15.5">
      <c r="A31" s="61" t="s">
        <v>81</v>
      </c>
      <c r="B31" s="98">
        <v>1</v>
      </c>
      <c r="C31" s="102">
        <f t="shared" si="98"/>
        <v>20</v>
      </c>
      <c r="D31" s="96">
        <v>2.5000000000000001E-2</v>
      </c>
      <c r="E31" s="71">
        <f t="shared" si="99"/>
        <v>-0.11847364906520158</v>
      </c>
      <c r="F31" s="19">
        <f t="shared" ref="F31" si="163">Atten_to_Te(E31,$C31)</f>
        <v>0.55310119685244352</v>
      </c>
      <c r="G31" s="74">
        <f t="shared" ca="1" si="101"/>
        <v>-0.66792094719560469</v>
      </c>
      <c r="H31" s="75" t="e">
        <f t="shared" ca="1" si="142"/>
        <v>#NAME?</v>
      </c>
      <c r="I31" s="71">
        <f t="shared" si="102"/>
        <v>-0.10450111180964056</v>
      </c>
      <c r="J31" s="19">
        <f t="shared" si="103"/>
        <v>0.48708205331071674</v>
      </c>
      <c r="K31" s="74">
        <f t="shared" ca="1" si="104"/>
        <v>-0.61075333542892163</v>
      </c>
      <c r="L31" s="75" t="e">
        <f t="shared" ca="1" si="105"/>
        <v>#NAME?</v>
      </c>
      <c r="M31" s="71">
        <f t="shared" si="106"/>
        <v>-9.5623175423290907E-2</v>
      </c>
      <c r="N31" s="19">
        <f t="shared" ref="N31" si="164">Atten_to_Te(M31,$C31)</f>
        <v>0.44524471921749242</v>
      </c>
      <c r="O31" s="74">
        <f t="shared" ca="1" si="108"/>
        <v>-0.57874452626987272</v>
      </c>
      <c r="P31" s="75" t="e">
        <f t="shared" ca="1" si="109"/>
        <v>#NAME?</v>
      </c>
      <c r="Q31" s="71">
        <f t="shared" si="110"/>
        <v>-8.9067289953461304E-2</v>
      </c>
      <c r="R31" s="19">
        <f t="shared" si="111"/>
        <v>0.41440491539352475</v>
      </c>
      <c r="S31" s="74">
        <f t="shared" ca="1" si="112"/>
        <v>-0.55407686986038396</v>
      </c>
      <c r="T31" s="75" t="e">
        <f t="shared" ca="1" si="113"/>
        <v>#NAME?</v>
      </c>
      <c r="U31" s="71">
        <f t="shared" si="114"/>
        <v>-8.4167141349257402E-2</v>
      </c>
      <c r="V31" s="19">
        <f t="shared" si="115"/>
        <v>0.39138431321561473</v>
      </c>
      <c r="W31" s="74">
        <f t="shared" ca="1" si="116"/>
        <v>-0.54625142404777216</v>
      </c>
      <c r="X31" s="75" t="e">
        <f t="shared" ca="1" si="117"/>
        <v>#NAME?</v>
      </c>
      <c r="Y31" s="71">
        <f t="shared" si="118"/>
        <v>-8.0132073739167142E-2</v>
      </c>
      <c r="Z31" s="19">
        <f t="shared" si="119"/>
        <v>0.37244730024077022</v>
      </c>
      <c r="AA31" s="74">
        <f t="shared" ca="1" si="120"/>
        <v>-0.54539622121750142</v>
      </c>
      <c r="AB31" s="75" t="e">
        <f t="shared" ca="1" si="121"/>
        <v>#NAME?</v>
      </c>
      <c r="AC31" s="71">
        <f t="shared" si="122"/>
        <v>-7.6835768391467218E-2</v>
      </c>
      <c r="AD31" s="19">
        <f t="shared" si="123"/>
        <v>0.35699043139339359</v>
      </c>
      <c r="AE31" s="74">
        <f t="shared" ca="1" si="124"/>
        <v>-0.53800730517440165</v>
      </c>
      <c r="AF31" s="75" t="e">
        <f t="shared" ca="1" si="125"/>
        <v>#NAME?</v>
      </c>
      <c r="AG31" s="71">
        <f t="shared" si="126"/>
        <v>-7.4395960137369918E-2</v>
      </c>
      <c r="AH31" s="19">
        <f t="shared" si="127"/>
        <v>0.34555735849162161</v>
      </c>
      <c r="AI31" s="74">
        <f t="shared" ca="1" si="128"/>
        <v>-0.54318788041210975</v>
      </c>
      <c r="AJ31" s="75" t="e">
        <f t="shared" ca="1" si="129"/>
        <v>#NAME?</v>
      </c>
      <c r="AK31" s="71">
        <f t="shared" si="130"/>
        <v>-7.2648554511105065E-2</v>
      </c>
      <c r="AL31" s="19">
        <f t="shared" si="131"/>
        <v>0.33737286810847422</v>
      </c>
      <c r="AM31" s="74">
        <f t="shared" ca="1" si="132"/>
        <v>-0.55044566353331525</v>
      </c>
      <c r="AN31" s="75" t="e">
        <f t="shared" ca="1" si="133"/>
        <v>#NAME?</v>
      </c>
      <c r="AO31" s="71">
        <f t="shared" si="134"/>
        <v>-7.1191064871900175E-2</v>
      </c>
      <c r="AP31" s="19">
        <f t="shared" ref="AP31" si="165">Atten_to_Te(AO31,$C31)</f>
        <v>0.33054880328637459</v>
      </c>
      <c r="AQ31" s="74">
        <f t="shared" ca="1" si="136"/>
        <v>-0.56007319461570049</v>
      </c>
      <c r="AR31" s="75" t="e">
        <f t="shared" ca="1" si="137"/>
        <v>#NAME?</v>
      </c>
      <c r="AS31" s="71">
        <f t="shared" si="138"/>
        <v>-7.0157722825054558E-2</v>
      </c>
      <c r="AT31" s="19">
        <f t="shared" ref="AT31" si="166">Atten_to_Te(AS31,$C31)</f>
        <v>0.32571201335215072</v>
      </c>
      <c r="AU31" s="74">
        <f t="shared" ca="1" si="140"/>
        <v>-0.57047316847516361</v>
      </c>
      <c r="AV31" s="75" t="e">
        <f t="shared" ca="1" si="141"/>
        <v>#NAME?</v>
      </c>
      <c r="AW31" s="406"/>
      <c r="AX31" s="406"/>
      <c r="AY31" s="406"/>
      <c r="AZ31" s="406"/>
    </row>
    <row r="32" spans="1:52" s="17" customFormat="1" ht="15.5">
      <c r="A32" s="63" t="s">
        <v>58</v>
      </c>
      <c r="B32" s="98">
        <v>1</v>
      </c>
      <c r="C32" s="102">
        <f t="shared" si="98"/>
        <v>20</v>
      </c>
      <c r="D32" s="97"/>
      <c r="E32" s="114">
        <f>G_Lookup($A32,$E$20, E$21,$D32)</f>
        <v>25.5</v>
      </c>
      <c r="F32" s="115">
        <f>T_LNA($A32, E$21)</f>
        <v>19</v>
      </c>
      <c r="G32" s="68">
        <f t="shared" ca="1" si="101"/>
        <v>24.832079052804396</v>
      </c>
      <c r="H32" s="65" t="e">
        <f t="shared" ca="1" si="142"/>
        <v>#NAME?</v>
      </c>
      <c r="I32" s="114">
        <f>G_Lookup($A32,$E$20, I$21,$D32)</f>
        <v>26.95</v>
      </c>
      <c r="J32" s="115">
        <f>T_LNA($A32, I$21)</f>
        <v>14.650000000000002</v>
      </c>
      <c r="K32" s="68">
        <f t="shared" ca="1" si="104"/>
        <v>26.339246664571078</v>
      </c>
      <c r="L32" s="65" t="e">
        <f t="shared" ca="1" si="105"/>
        <v>#NAME?</v>
      </c>
      <c r="M32" s="114">
        <f>G_Lookup($A32,$E$20, M$21,$D32)</f>
        <v>28.5</v>
      </c>
      <c r="N32" s="115">
        <f>T_LNA($A32, M$21)</f>
        <v>15.75</v>
      </c>
      <c r="O32" s="68">
        <f t="shared" ca="1" si="108"/>
        <v>27.921255473730128</v>
      </c>
      <c r="P32" s="65" t="e">
        <f t="shared" ca="1" si="109"/>
        <v>#NAME?</v>
      </c>
      <c r="Q32" s="114">
        <f>G_Lookup($A32,$E$20, Q$21,$D32)</f>
        <v>27.1875</v>
      </c>
      <c r="R32" s="115">
        <f>T_LNA($A32, Q$21)</f>
        <v>17.0625</v>
      </c>
      <c r="S32" s="68">
        <f t="shared" ca="1" si="112"/>
        <v>26.633423130139615</v>
      </c>
      <c r="T32" s="65" t="e">
        <f t="shared" ca="1" si="113"/>
        <v>#NAME?</v>
      </c>
      <c r="U32" s="114">
        <f>G_Lookup($A32,$E$20, U$21,$D32)</f>
        <v>26.5625</v>
      </c>
      <c r="V32" s="115">
        <f>T_LNA($A32, U$21)</f>
        <v>18.75</v>
      </c>
      <c r="W32" s="68">
        <f t="shared" ca="1" si="116"/>
        <v>26.016248575952229</v>
      </c>
      <c r="X32" s="65" t="e">
        <f t="shared" ca="1" si="117"/>
        <v>#NAME?</v>
      </c>
      <c r="Y32" s="114">
        <f>G_Lookup($A32,$E$20, Y$21,$D32)</f>
        <v>24.5</v>
      </c>
      <c r="Z32" s="115">
        <f>T_LNA($A32, Y$21)</f>
        <v>21.5</v>
      </c>
      <c r="AA32" s="68">
        <f t="shared" ca="1" si="120"/>
        <v>23.954603778782499</v>
      </c>
      <c r="AB32" s="65" t="e">
        <f t="shared" ca="1" si="121"/>
        <v>#NAME?</v>
      </c>
      <c r="AC32" s="114">
        <f>G_Lookup($A32,$E$20, AC$21,$D32)</f>
        <v>23.625</v>
      </c>
      <c r="AD32" s="115">
        <f>T_LNA($A32, AC$21)</f>
        <v>24.5</v>
      </c>
      <c r="AE32" s="68">
        <f t="shared" ca="1" si="124"/>
        <v>23.086992694825597</v>
      </c>
      <c r="AF32" s="65" t="e">
        <f t="shared" ca="1" si="125"/>
        <v>#NAME?</v>
      </c>
      <c r="AG32" s="114">
        <f>G_Lookup($A32,$E$20, AG$21,$D32)</f>
        <v>21</v>
      </c>
      <c r="AH32" s="115">
        <f>T_LNA($A32, AG$21)</f>
        <v>26</v>
      </c>
      <c r="AI32" s="68">
        <f t="shared" ca="1" si="128"/>
        <v>20.456812119587891</v>
      </c>
      <c r="AJ32" s="65" t="e">
        <f t="shared" ca="1" si="129"/>
        <v>#NAME?</v>
      </c>
      <c r="AK32" s="114">
        <f>G_Lookup($A32,$E$20, AK$21,$D32)</f>
        <v>21.5</v>
      </c>
      <c r="AL32" s="115">
        <f>T_LNA($A32, AK$21)</f>
        <v>26.5</v>
      </c>
      <c r="AM32" s="68">
        <f t="shared" ca="1" si="132"/>
        <v>20.949554336466683</v>
      </c>
      <c r="AN32" s="65" t="e">
        <f t="shared" ca="1" si="133"/>
        <v>#NAME?</v>
      </c>
      <c r="AO32" s="114">
        <f>G_Lookup($A32,$E$20, AO$21,$D32)</f>
        <v>20.85</v>
      </c>
      <c r="AP32" s="115">
        <f>T_LNA($A32, AO$21)</f>
        <v>25.85</v>
      </c>
      <c r="AQ32" s="68">
        <f t="shared" ca="1" si="136"/>
        <v>20.289926805384301</v>
      </c>
      <c r="AR32" s="65" t="e">
        <f t="shared" ca="1" si="137"/>
        <v>#NAME?</v>
      </c>
      <c r="AS32" s="114">
        <f>G_Lookup($A32,$E$20, AS$21,$D32)</f>
        <v>20</v>
      </c>
      <c r="AT32" s="115">
        <f>T_LNA($A32, AS$21)</f>
        <v>25</v>
      </c>
      <c r="AU32" s="68">
        <f t="shared" ca="1" si="140"/>
        <v>19.429526831524836</v>
      </c>
      <c r="AV32" s="65" t="e">
        <f t="shared" ca="1" si="141"/>
        <v>#NAME?</v>
      </c>
      <c r="AW32" s="408"/>
      <c r="AX32" s="407"/>
      <c r="AY32" s="408"/>
      <c r="AZ32" s="408"/>
    </row>
    <row r="33" spans="1:52" s="10" customFormat="1" ht="15.5">
      <c r="A33" s="61" t="s">
        <v>81</v>
      </c>
      <c r="B33" s="98">
        <v>1</v>
      </c>
      <c r="C33" s="102">
        <f t="shared" si="98"/>
        <v>20</v>
      </c>
      <c r="D33" s="96">
        <v>2.5000000000000001E-2</v>
      </c>
      <c r="E33" s="71">
        <f t="shared" si="99"/>
        <v>-0.11847364906520158</v>
      </c>
      <c r="F33" s="19">
        <f t="shared" ref="F33" si="167">Atten_to_Te(E33,$C33)</f>
        <v>0.55310119685244352</v>
      </c>
      <c r="G33" s="74">
        <f t="shared" ref="G33:G35" ca="1" si="168">E33+OFFSET(G33,-1,0)</f>
        <v>24.713605403739194</v>
      </c>
      <c r="H33" s="75" t="e">
        <f t="shared" ref="H33:H35" ca="1" si="169">OFFSET(H33,-1,0)+F33*dbToAbs(-1*OFFSET(G33,-1,0))</f>
        <v>#NAME?</v>
      </c>
      <c r="I33" s="71">
        <f t="shared" si="102"/>
        <v>-0.10450111180964056</v>
      </c>
      <c r="J33" s="19">
        <f t="shared" ref="J33" si="170">Atten_to_Te(I33,$C33)</f>
        <v>0.48708205331071674</v>
      </c>
      <c r="K33" s="74">
        <f t="shared" ref="K33:K35" ca="1" si="171">I33+OFFSET(K33,-1,0)</f>
        <v>26.234745552761439</v>
      </c>
      <c r="L33" s="75" t="e">
        <f t="shared" ref="L33:L35" ca="1" si="172">OFFSET(L33,-1,0)+J33*dbToAbs(-1*OFFSET(K33,-1,0))</f>
        <v>#NAME?</v>
      </c>
      <c r="M33" s="71">
        <f t="shared" si="106"/>
        <v>-9.5623175423290907E-2</v>
      </c>
      <c r="N33" s="19">
        <f t="shared" ref="N33" si="173">Atten_to_Te(M33,$C33)</f>
        <v>0.44524471921749242</v>
      </c>
      <c r="O33" s="74">
        <f t="shared" ca="1" si="108"/>
        <v>27.825632298306836</v>
      </c>
      <c r="P33" s="75" t="e">
        <f t="shared" ca="1" si="109"/>
        <v>#NAME?</v>
      </c>
      <c r="Q33" s="71">
        <f t="shared" si="110"/>
        <v>-8.9067289953461304E-2</v>
      </c>
      <c r="R33" s="19">
        <f t="shared" ref="R33" si="174">Atten_to_Te(Q33,$C33)</f>
        <v>0.41440491539352475</v>
      </c>
      <c r="S33" s="74">
        <f t="shared" ref="S33:S35" ca="1" si="175">Q33+OFFSET(S33,-1,0)</f>
        <v>26.544355840186153</v>
      </c>
      <c r="T33" s="75" t="e">
        <f t="shared" ref="T33:T35" ca="1" si="176">OFFSET(T33,-1,0)+R33*dbToAbs(-1*OFFSET(S33,-1,0))</f>
        <v>#NAME?</v>
      </c>
      <c r="U33" s="71">
        <f t="shared" si="114"/>
        <v>-8.4167141349257402E-2</v>
      </c>
      <c r="V33" s="19">
        <f t="shared" ref="V33" si="177">Atten_to_Te(U33,$C33)</f>
        <v>0.39138431321561473</v>
      </c>
      <c r="W33" s="74">
        <f t="shared" ref="W33:W35" ca="1" si="178">U33+OFFSET(W33,-1,0)</f>
        <v>25.932081434602971</v>
      </c>
      <c r="X33" s="75" t="e">
        <f t="shared" ref="X33:X35" ca="1" si="179">OFFSET(X33,-1,0)+V33*dbToAbs(-1*OFFSET(W33,-1,0))</f>
        <v>#NAME?</v>
      </c>
      <c r="Y33" s="71">
        <f t="shared" si="118"/>
        <v>-8.0132073739167142E-2</v>
      </c>
      <c r="Z33" s="19">
        <f t="shared" ref="Z33" si="180">Atten_to_Te(Y33,$C33)</f>
        <v>0.37244730024077022</v>
      </c>
      <c r="AA33" s="74">
        <f t="shared" ref="AA33:AA35" ca="1" si="181">Y33+OFFSET(AA33,-1,0)</f>
        <v>23.87447170504333</v>
      </c>
      <c r="AB33" s="75" t="e">
        <f t="shared" ref="AB33:AB35" ca="1" si="182">OFFSET(AB33,-1,0)+Z33*dbToAbs(-1*OFFSET(AA33,-1,0))</f>
        <v>#NAME?</v>
      </c>
      <c r="AC33" s="71">
        <f t="shared" si="122"/>
        <v>-7.6835768391467218E-2</v>
      </c>
      <c r="AD33" s="19">
        <f t="shared" ref="AD33" si="183">Atten_to_Te(AC33,$C33)</f>
        <v>0.35699043139339359</v>
      </c>
      <c r="AE33" s="74">
        <f t="shared" ref="AE33:AE35" ca="1" si="184">AC33+OFFSET(AE33,-1,0)</f>
        <v>23.010156926434128</v>
      </c>
      <c r="AF33" s="75" t="e">
        <f t="shared" ref="AF33:AF35" ca="1" si="185">OFFSET(AF33,-1,0)+AD33*dbToAbs(-1*OFFSET(AE33,-1,0))</f>
        <v>#NAME?</v>
      </c>
      <c r="AG33" s="71">
        <f t="shared" si="126"/>
        <v>-7.4395960137369918E-2</v>
      </c>
      <c r="AH33" s="19">
        <f t="shared" ref="AH33" si="186">Atten_to_Te(AG33,$C33)</f>
        <v>0.34555735849162161</v>
      </c>
      <c r="AI33" s="74">
        <f t="shared" ref="AI33:AI35" ca="1" si="187">AG33+OFFSET(AI33,-1,0)</f>
        <v>20.382416159450521</v>
      </c>
      <c r="AJ33" s="75" t="e">
        <f t="shared" ref="AJ33:AJ35" ca="1" si="188">OFFSET(AJ33,-1,0)+AH33*dbToAbs(-1*OFFSET(AI33,-1,0))</f>
        <v>#NAME?</v>
      </c>
      <c r="AK33" s="71">
        <f t="shared" si="130"/>
        <v>-7.2648554511105065E-2</v>
      </c>
      <c r="AL33" s="19">
        <f t="shared" ref="AL33" si="189">Atten_to_Te(AK33,$C33)</f>
        <v>0.33737286810847422</v>
      </c>
      <c r="AM33" s="74">
        <f t="shared" ref="AM33:AM35" ca="1" si="190">AK33+OFFSET(AM33,-1,0)</f>
        <v>20.876905781955578</v>
      </c>
      <c r="AN33" s="75" t="e">
        <f t="shared" ref="AN33:AN35" ca="1" si="191">OFFSET(AN33,-1,0)+AL33*dbToAbs(-1*OFFSET(AM33,-1,0))</f>
        <v>#NAME?</v>
      </c>
      <c r="AO33" s="71">
        <f t="shared" si="134"/>
        <v>-7.1191064871900175E-2</v>
      </c>
      <c r="AP33" s="19">
        <f t="shared" ref="AP33" si="192">Atten_to_Te(AO33,$C33)</f>
        <v>0.33054880328637459</v>
      </c>
      <c r="AQ33" s="74">
        <f t="shared" ref="AQ33:AQ35" ca="1" si="193">AO33+OFFSET(AQ33,-1,0)</f>
        <v>20.2187357405124</v>
      </c>
      <c r="AR33" s="75" t="e">
        <f t="shared" ref="AR33:AR35" ca="1" si="194">OFFSET(AR33,-1,0)+AP33*dbToAbs(-1*OFFSET(AQ33,-1,0))</f>
        <v>#NAME?</v>
      </c>
      <c r="AS33" s="71">
        <f t="shared" si="138"/>
        <v>-7.0157722825054558E-2</v>
      </c>
      <c r="AT33" s="19">
        <f t="shared" ref="AT33" si="195">Atten_to_Te(AS33,$C33)</f>
        <v>0.32571201335215072</v>
      </c>
      <c r="AU33" s="74">
        <f t="shared" ref="AU33:AU35" ca="1" si="196">AS33+OFFSET(AU33,-1,0)</f>
        <v>19.359369108699781</v>
      </c>
      <c r="AV33" s="75" t="e">
        <f t="shared" ref="AV33:AV35" ca="1" si="197">OFFSET(AV33,-1,0)+AT33*dbToAbs(-1*OFFSET(AU33,-1,0))</f>
        <v>#NAME?</v>
      </c>
      <c r="AW33" s="406"/>
      <c r="AX33" s="406"/>
      <c r="AY33" s="406"/>
      <c r="AZ33" s="406"/>
    </row>
    <row r="34" spans="1:52" s="17" customFormat="1" ht="15.5">
      <c r="A34" s="63" t="s">
        <v>58</v>
      </c>
      <c r="B34" s="98">
        <v>1</v>
      </c>
      <c r="C34" s="102">
        <f t="shared" si="98"/>
        <v>20</v>
      </c>
      <c r="D34" s="97"/>
      <c r="E34" s="114">
        <f>G_Lookup($A34,$E$20, E$21,$D34)</f>
        <v>25.5</v>
      </c>
      <c r="F34" s="115">
        <f>T_LNA($A34, E$21)</f>
        <v>19</v>
      </c>
      <c r="G34" s="68">
        <f t="shared" ca="1" si="168"/>
        <v>50.213605403739194</v>
      </c>
      <c r="H34" s="65" t="e">
        <f t="shared" ca="1" si="169"/>
        <v>#NAME?</v>
      </c>
      <c r="I34" s="114">
        <f>G_Lookup($A34,$E$20, I$21,$D34)</f>
        <v>26.95</v>
      </c>
      <c r="J34" s="115">
        <f>T_LNA($A34, I$21)</f>
        <v>14.650000000000002</v>
      </c>
      <c r="K34" s="68">
        <f t="shared" ca="1" si="171"/>
        <v>53.184745552761441</v>
      </c>
      <c r="L34" s="65" t="e">
        <f t="shared" ca="1" si="172"/>
        <v>#NAME?</v>
      </c>
      <c r="M34" s="114">
        <f>G_Lookup($A34,$E$20, M$21,$D34)</f>
        <v>28.5</v>
      </c>
      <c r="N34" s="115">
        <f>T_LNA($A34, M$21)</f>
        <v>15.75</v>
      </c>
      <c r="O34" s="68">
        <f t="shared" ca="1" si="108"/>
        <v>56.325632298306836</v>
      </c>
      <c r="P34" s="65" t="e">
        <f t="shared" ca="1" si="109"/>
        <v>#NAME?</v>
      </c>
      <c r="Q34" s="114">
        <f>G_Lookup($A34,$E$20, Q$21,$D34)</f>
        <v>27.1875</v>
      </c>
      <c r="R34" s="115">
        <f>T_LNA($A34, Q$21)</f>
        <v>17.0625</v>
      </c>
      <c r="S34" s="68">
        <f t="shared" ca="1" si="175"/>
        <v>53.731855840186157</v>
      </c>
      <c r="T34" s="65" t="e">
        <f t="shared" ca="1" si="176"/>
        <v>#NAME?</v>
      </c>
      <c r="U34" s="114">
        <f>G_Lookup($A34,$E$20, U$21,$D34)</f>
        <v>26.5625</v>
      </c>
      <c r="V34" s="115">
        <f>T_LNA($A34, U$21)</f>
        <v>18.75</v>
      </c>
      <c r="W34" s="68">
        <f t="shared" ca="1" si="178"/>
        <v>52.494581434602971</v>
      </c>
      <c r="X34" s="65" t="e">
        <f t="shared" ca="1" si="179"/>
        <v>#NAME?</v>
      </c>
      <c r="Y34" s="114">
        <f>G_Lookup($A34,$E$20, Y$21,$D34)</f>
        <v>24.5</v>
      </c>
      <c r="Z34" s="115">
        <f>T_LNA($A34, Y$21)</f>
        <v>21.5</v>
      </c>
      <c r="AA34" s="68">
        <f t="shared" ca="1" si="181"/>
        <v>48.374471705043334</v>
      </c>
      <c r="AB34" s="65" t="e">
        <f t="shared" ca="1" si="182"/>
        <v>#NAME?</v>
      </c>
      <c r="AC34" s="114">
        <f>G_Lookup($A34,$E$20, AC$21,$D34)</f>
        <v>23.625</v>
      </c>
      <c r="AD34" s="115">
        <f>T_LNA($A34, AC$21)</f>
        <v>24.5</v>
      </c>
      <c r="AE34" s="68">
        <f t="shared" ca="1" si="184"/>
        <v>46.635156926434128</v>
      </c>
      <c r="AF34" s="65" t="e">
        <f t="shared" ca="1" si="185"/>
        <v>#NAME?</v>
      </c>
      <c r="AG34" s="114">
        <f>G_Lookup($A34,$E$20, AG$21,$D34)</f>
        <v>21</v>
      </c>
      <c r="AH34" s="115">
        <f>T_LNA($A34, AG$21)</f>
        <v>26</v>
      </c>
      <c r="AI34" s="68">
        <f t="shared" ca="1" si="187"/>
        <v>41.382416159450521</v>
      </c>
      <c r="AJ34" s="65" t="e">
        <f t="shared" ca="1" si="188"/>
        <v>#NAME?</v>
      </c>
      <c r="AK34" s="114">
        <f>G_Lookup($A34,$E$20, AK$21,$D34)</f>
        <v>21.5</v>
      </c>
      <c r="AL34" s="115">
        <f>T_LNA($A34, AK$21)</f>
        <v>26.5</v>
      </c>
      <c r="AM34" s="68">
        <f t="shared" ca="1" si="190"/>
        <v>42.376905781955578</v>
      </c>
      <c r="AN34" s="65" t="e">
        <f t="shared" ca="1" si="191"/>
        <v>#NAME?</v>
      </c>
      <c r="AO34" s="114">
        <f>G_Lookup($A34,$E$20, AO$21,$D34)</f>
        <v>20.85</v>
      </c>
      <c r="AP34" s="115">
        <f>T_LNA($A34, AO$21)</f>
        <v>25.85</v>
      </c>
      <c r="AQ34" s="68">
        <f t="shared" ca="1" si="193"/>
        <v>41.068735740512402</v>
      </c>
      <c r="AR34" s="65" t="e">
        <f t="shared" ca="1" si="194"/>
        <v>#NAME?</v>
      </c>
      <c r="AS34" s="114">
        <f>G_Lookup($A34,$E$20, AS$21,$D34)</f>
        <v>20</v>
      </c>
      <c r="AT34" s="115">
        <f>T_LNA($A34, AS$21)</f>
        <v>25</v>
      </c>
      <c r="AU34" s="68">
        <f t="shared" ca="1" si="196"/>
        <v>39.359369108699781</v>
      </c>
      <c r="AV34" s="65" t="e">
        <f t="shared" ca="1" si="197"/>
        <v>#NAME?</v>
      </c>
      <c r="AW34" s="408"/>
      <c r="AX34" s="407"/>
      <c r="AY34" s="408"/>
      <c r="AZ34" s="408"/>
    </row>
    <row r="35" spans="1:52" s="10" customFormat="1" ht="15.5">
      <c r="A35" s="538" t="s">
        <v>81</v>
      </c>
      <c r="B35" s="96">
        <v>2</v>
      </c>
      <c r="C35" s="103">
        <f t="shared" si="98"/>
        <v>50</v>
      </c>
      <c r="D35" s="539">
        <v>0.15</v>
      </c>
      <c r="E35" s="534">
        <f t="shared" ref="E35:E36" si="198">G_Lookup($A35,$E$20, E$21,$D35)</f>
        <v>-0.71084189439120937</v>
      </c>
      <c r="F35" s="535">
        <f t="shared" ref="F35" si="199">Atten_to_Te(E35,$C35)</f>
        <v>8.8917139254473643</v>
      </c>
      <c r="G35" s="536">
        <f t="shared" ca="1" si="168"/>
        <v>49.502763509347986</v>
      </c>
      <c r="H35" s="537" t="e">
        <f t="shared" ca="1" si="169"/>
        <v>#NAME?</v>
      </c>
      <c r="I35" s="534">
        <f t="shared" ref="I35:I36" si="200">G_Lookup($A35,$E$20, I$21,$D35)</f>
        <v>-0.62700667085784323</v>
      </c>
      <c r="J35" s="535">
        <f t="shared" ref="J35" si="201">Atten_to_Te(I35,$C35)</f>
        <v>7.7657839252195826</v>
      </c>
      <c r="K35" s="536">
        <f t="shared" ca="1" si="171"/>
        <v>52.557738881903596</v>
      </c>
      <c r="L35" s="537" t="e">
        <f t="shared" ca="1" si="172"/>
        <v>#NAME?</v>
      </c>
      <c r="M35" s="534">
        <f t="shared" ref="M35:M36" si="202">G_Lookup($A35,$E$20, M$21,$D35)</f>
        <v>-0.57373905253974533</v>
      </c>
      <c r="N35" s="535">
        <f t="shared" ref="N35" si="203">Atten_to_Te(M35,$C35)</f>
        <v>7.0615953404425502</v>
      </c>
      <c r="O35" s="536">
        <f t="shared" ref="O35" ca="1" si="204">M35+OFFSET(O35,-1,0)</f>
        <v>55.751893245767093</v>
      </c>
      <c r="P35" s="537" t="e">
        <f t="shared" ref="P35" ca="1" si="205">OFFSET(P35,-1,0)+N35*dbToAbs(-1*OFFSET(O35,-1,0))</f>
        <v>#NAME?</v>
      </c>
      <c r="Q35" s="534">
        <f t="shared" ref="Q35:Q36" si="206">G_Lookup($A35,$E$20, Q$21,$D35)</f>
        <v>-0.53440373972076771</v>
      </c>
      <c r="R35" s="535">
        <f t="shared" ref="R35" si="207">Atten_to_Te(Q35,$C35)</f>
        <v>6.547105355259375</v>
      </c>
      <c r="S35" s="536">
        <f t="shared" ca="1" si="175"/>
        <v>53.197452100465391</v>
      </c>
      <c r="T35" s="537" t="e">
        <f t="shared" ca="1" si="176"/>
        <v>#NAME?</v>
      </c>
      <c r="U35" s="534">
        <f t="shared" ref="U35:U36" si="208">G_Lookup($A35,$E$20, U$21,$D35)</f>
        <v>-0.50500284809554441</v>
      </c>
      <c r="V35" s="535">
        <f t="shared" ref="V35" si="209">Atten_to_Te(U35,$C35)</f>
        <v>6.1655853169958252</v>
      </c>
      <c r="W35" s="536">
        <f t="shared" ca="1" si="178"/>
        <v>51.989578586507427</v>
      </c>
      <c r="X35" s="537" t="e">
        <f t="shared" ca="1" si="179"/>
        <v>#NAME?</v>
      </c>
      <c r="Y35" s="534">
        <f t="shared" ref="Y35:Y36" si="210">G_Lookup($A35,$E$20, Y$21,$D35)</f>
        <v>-0.48079244243500274</v>
      </c>
      <c r="Z35" s="535">
        <f t="shared" ref="Z35" si="211">Atten_to_Te(Y35,$C35)</f>
        <v>5.8533528314519518</v>
      </c>
      <c r="AA35" s="536">
        <f t="shared" ca="1" si="181"/>
        <v>47.89367926260833</v>
      </c>
      <c r="AB35" s="537" t="e">
        <f t="shared" ca="1" si="182"/>
        <v>#NAME?</v>
      </c>
      <c r="AC35" s="534">
        <f t="shared" ref="AC35:AC36" si="212">G_Lookup($A35,$E$20, AC$21,$D35)</f>
        <v>-0.46101461034880331</v>
      </c>
      <c r="AD35" s="535">
        <f t="shared" ref="AD35" si="213">Atten_to_Te(AC35,$C35)</f>
        <v>5.5995741676675532</v>
      </c>
      <c r="AE35" s="536">
        <f t="shared" ca="1" si="184"/>
        <v>46.174142316085323</v>
      </c>
      <c r="AF35" s="537" t="e">
        <f t="shared" ca="1" si="185"/>
        <v>#NAME?</v>
      </c>
      <c r="AG35" s="534">
        <f t="shared" ref="AG35:AG36" si="214">G_Lookup($A35,$E$20, AG$21,$D35)</f>
        <v>-0.44637576082421943</v>
      </c>
      <c r="AH35" s="535">
        <f t="shared" ref="AH35" si="215">Atten_to_Te(AG35,$C35)</f>
        <v>5.4124790890855978</v>
      </c>
      <c r="AI35" s="536">
        <f t="shared" ca="1" si="187"/>
        <v>40.936040398626304</v>
      </c>
      <c r="AJ35" s="537" t="e">
        <f t="shared" ca="1" si="188"/>
        <v>#NAME?</v>
      </c>
      <c r="AK35" s="534">
        <f t="shared" ref="AK35:AK36" si="216">G_Lookup($A35,$E$20, AK$21,$D35)</f>
        <v>-0.43589132706663031</v>
      </c>
      <c r="AL35" s="535">
        <f t="shared" ref="AL35" si="217">Atten_to_Te(AK35,$C35)</f>
        <v>5.2788674988441198</v>
      </c>
      <c r="AM35" s="536">
        <f t="shared" ca="1" si="190"/>
        <v>41.941014454888951</v>
      </c>
      <c r="AN35" s="537" t="e">
        <f t="shared" ca="1" si="191"/>
        <v>#NAME?</v>
      </c>
      <c r="AO35" s="534">
        <f t="shared" ref="AO35:AO36" si="218">G_Lookup($A35,$E$20, AO$21,$D35)</f>
        <v>-0.42714638923140097</v>
      </c>
      <c r="AP35" s="535">
        <f t="shared" ref="AP35" si="219">Atten_to_Te(AO35,$C35)</f>
        <v>5.1676701638696425</v>
      </c>
      <c r="AQ35" s="536">
        <f t="shared" ca="1" si="193"/>
        <v>40.641589351280999</v>
      </c>
      <c r="AR35" s="537" t="e">
        <f t="shared" ca="1" si="194"/>
        <v>#NAME?</v>
      </c>
      <c r="AS35" s="534">
        <f t="shared" ref="AS35:AS36" si="220">G_Lookup($A35,$E$20, AS$21,$D35)</f>
        <v>-0.42094633695032735</v>
      </c>
      <c r="AT35" s="535">
        <f t="shared" ref="AT35" si="221">Atten_to_Te(AS35,$C35)</f>
        <v>5.0889681731228764</v>
      </c>
      <c r="AU35" s="536">
        <f t="shared" ca="1" si="196"/>
        <v>38.938422771749451</v>
      </c>
      <c r="AV35" s="537" t="e">
        <f t="shared" ca="1" si="197"/>
        <v>#NAME?</v>
      </c>
      <c r="AW35" s="406"/>
      <c r="AX35" s="406"/>
      <c r="AY35" s="406"/>
      <c r="AZ35" s="406"/>
    </row>
    <row r="36" spans="1:52" s="10" customFormat="1" ht="16" thickBot="1">
      <c r="A36" s="542" t="s">
        <v>81</v>
      </c>
      <c r="B36" s="98">
        <v>4</v>
      </c>
      <c r="C36" s="102">
        <f t="shared" si="98"/>
        <v>190</v>
      </c>
      <c r="D36" s="540">
        <v>0.15</v>
      </c>
      <c r="E36" s="128">
        <f t="shared" si="198"/>
        <v>-0.71084189439120937</v>
      </c>
      <c r="F36" s="129">
        <f t="shared" ref="F36" si="222">Atten_to_Te(E36,$C36)</f>
        <v>33.788512916699986</v>
      </c>
      <c r="G36" s="83">
        <f t="shared" ca="1" si="101"/>
        <v>48.791921614956777</v>
      </c>
      <c r="H36" s="84" t="e">
        <f t="shared" ca="1" si="142"/>
        <v>#NAME?</v>
      </c>
      <c r="I36" s="128">
        <f t="shared" si="200"/>
        <v>-0.62700667085784323</v>
      </c>
      <c r="J36" s="129">
        <f t="shared" ref="J36" si="223">Atten_to_Te(I36,$C36)</f>
        <v>29.509978915834413</v>
      </c>
      <c r="K36" s="83">
        <f t="shared" ca="1" si="104"/>
        <v>51.930732211045751</v>
      </c>
      <c r="L36" s="84" t="e">
        <f t="shared" ca="1" si="105"/>
        <v>#NAME?</v>
      </c>
      <c r="M36" s="128">
        <f t="shared" si="202"/>
        <v>-0.57373905253974533</v>
      </c>
      <c r="N36" s="129">
        <f t="shared" ref="N36" si="224">Atten_to_Te(M36,$C36)</f>
        <v>26.83406229368169</v>
      </c>
      <c r="O36" s="83">
        <f t="shared" ca="1" si="108"/>
        <v>55.17815419322735</v>
      </c>
      <c r="P36" s="84" t="e">
        <f t="shared" ca="1" si="109"/>
        <v>#NAME?</v>
      </c>
      <c r="Q36" s="128">
        <f t="shared" si="206"/>
        <v>-0.53440373972076771</v>
      </c>
      <c r="R36" s="129">
        <f t="shared" ref="R36" si="225">Atten_to_Te(Q36,$C36)</f>
        <v>24.879000349985624</v>
      </c>
      <c r="S36" s="83">
        <f t="shared" ca="1" si="112"/>
        <v>52.663048360744625</v>
      </c>
      <c r="T36" s="84" t="e">
        <f t="shared" ca="1" si="113"/>
        <v>#NAME?</v>
      </c>
      <c r="U36" s="128">
        <f t="shared" si="208"/>
        <v>-0.50500284809554441</v>
      </c>
      <c r="V36" s="129">
        <f t="shared" ref="V36" si="226">Atten_to_Te(U36,$C36)</f>
        <v>23.429224204584138</v>
      </c>
      <c r="W36" s="83">
        <f t="shared" ca="1" si="116"/>
        <v>51.484575738411884</v>
      </c>
      <c r="X36" s="84" t="e">
        <f t="shared" ca="1" si="117"/>
        <v>#NAME?</v>
      </c>
      <c r="Y36" s="128">
        <f t="shared" si="210"/>
        <v>-0.48079244243500274</v>
      </c>
      <c r="Z36" s="129">
        <f t="shared" ref="Z36" si="227">Atten_to_Te(Y36,$C36)</f>
        <v>22.242740759517417</v>
      </c>
      <c r="AA36" s="83">
        <f t="shared" ca="1" si="120"/>
        <v>47.412886820173327</v>
      </c>
      <c r="AB36" s="84" t="e">
        <f t="shared" ca="1" si="121"/>
        <v>#NAME?</v>
      </c>
      <c r="AC36" s="128">
        <f t="shared" si="212"/>
        <v>-0.46101461034880331</v>
      </c>
      <c r="AD36" s="129">
        <f t="shared" ref="AD36" si="228">Atten_to_Te(AC36,$C36)</f>
        <v>21.278381837136703</v>
      </c>
      <c r="AE36" s="83">
        <f t="shared" ca="1" si="124"/>
        <v>45.713127705736518</v>
      </c>
      <c r="AF36" s="84" t="e">
        <f t="shared" ca="1" si="125"/>
        <v>#NAME?</v>
      </c>
      <c r="AG36" s="128">
        <f t="shared" si="214"/>
        <v>-0.44637576082421943</v>
      </c>
      <c r="AH36" s="129">
        <f t="shared" ref="AH36" si="229">Atten_to_Te(AG36,$C36)</f>
        <v>20.567420538525273</v>
      </c>
      <c r="AI36" s="83">
        <f t="shared" ca="1" si="128"/>
        <v>40.489664637802086</v>
      </c>
      <c r="AJ36" s="84" t="e">
        <f t="shared" ca="1" si="129"/>
        <v>#NAME?</v>
      </c>
      <c r="AK36" s="128">
        <f t="shared" si="216"/>
        <v>-0.43589132706663031</v>
      </c>
      <c r="AL36" s="129">
        <f t="shared" ref="AL36" si="230">Atten_to_Te(AK36,$C36)</f>
        <v>20.059696495607653</v>
      </c>
      <c r="AM36" s="83">
        <f t="shared" ca="1" si="132"/>
        <v>41.505123127822323</v>
      </c>
      <c r="AN36" s="84" t="e">
        <f t="shared" ca="1" si="133"/>
        <v>#NAME?</v>
      </c>
      <c r="AO36" s="128">
        <f t="shared" si="218"/>
        <v>-0.42714638923140097</v>
      </c>
      <c r="AP36" s="129">
        <f t="shared" ref="AP36" si="231">Atten_to_Te(AO36,$C36)</f>
        <v>19.637146622704641</v>
      </c>
      <c r="AQ36" s="83">
        <f t="shared" ca="1" si="136"/>
        <v>40.214442962049596</v>
      </c>
      <c r="AR36" s="84" t="e">
        <f t="shared" ca="1" si="137"/>
        <v>#NAME?</v>
      </c>
      <c r="AS36" s="128">
        <f t="shared" si="220"/>
        <v>-0.42094633695032735</v>
      </c>
      <c r="AT36" s="129">
        <f t="shared" ref="AT36" si="232">Atten_to_Te(AS36,$C36)</f>
        <v>19.338079057866931</v>
      </c>
      <c r="AU36" s="83">
        <f t="shared" ca="1" si="140"/>
        <v>38.517476434799121</v>
      </c>
      <c r="AV36" s="84" t="e">
        <f t="shared" ca="1" si="141"/>
        <v>#NAME?</v>
      </c>
      <c r="AW36" s="406"/>
      <c r="AX36" s="406"/>
      <c r="AY36" s="406"/>
      <c r="AZ36" s="406"/>
    </row>
    <row r="37" spans="1:52" s="10" customFormat="1" ht="16" thickBot="1">
      <c r="A37" s="106" t="s">
        <v>23</v>
      </c>
      <c r="B37" s="100"/>
      <c r="C37" s="100"/>
      <c r="D37" s="94"/>
      <c r="E37" s="86"/>
      <c r="F37" s="86"/>
      <c r="G37" s="88">
        <f ca="1">G36</f>
        <v>48.791921614956777</v>
      </c>
      <c r="H37" s="87" t="e">
        <f ca="1">H36</f>
        <v>#NAME?</v>
      </c>
      <c r="I37" s="86"/>
      <c r="J37" s="86"/>
      <c r="K37" s="88">
        <f ca="1">K36</f>
        <v>51.930732211045751</v>
      </c>
      <c r="L37" s="87" t="e">
        <f ca="1">L36</f>
        <v>#NAME?</v>
      </c>
      <c r="M37" s="86"/>
      <c r="N37" s="86"/>
      <c r="O37" s="88">
        <f ca="1">O36</f>
        <v>55.17815419322735</v>
      </c>
      <c r="P37" s="87" t="e">
        <f ca="1">P36</f>
        <v>#NAME?</v>
      </c>
      <c r="Q37" s="86"/>
      <c r="R37" s="86"/>
      <c r="S37" s="88">
        <f ca="1">S36</f>
        <v>52.663048360744625</v>
      </c>
      <c r="T37" s="87" t="e">
        <f ca="1">T36</f>
        <v>#NAME?</v>
      </c>
      <c r="U37" s="86"/>
      <c r="V37" s="86"/>
      <c r="W37" s="88">
        <f ca="1">W36</f>
        <v>51.484575738411884</v>
      </c>
      <c r="X37" s="87" t="e">
        <f ca="1">X36</f>
        <v>#NAME?</v>
      </c>
      <c r="Y37" s="86"/>
      <c r="Z37" s="86"/>
      <c r="AA37" s="88">
        <f ca="1">AA36</f>
        <v>47.412886820173327</v>
      </c>
      <c r="AB37" s="87" t="e">
        <f ca="1">AB36</f>
        <v>#NAME?</v>
      </c>
      <c r="AC37" s="86"/>
      <c r="AD37" s="86"/>
      <c r="AE37" s="88">
        <f ca="1">AE36</f>
        <v>45.713127705736518</v>
      </c>
      <c r="AF37" s="87" t="e">
        <f ca="1">AF36</f>
        <v>#NAME?</v>
      </c>
      <c r="AG37" s="86"/>
      <c r="AH37" s="86"/>
      <c r="AI37" s="88">
        <f ca="1">AI36</f>
        <v>40.489664637802086</v>
      </c>
      <c r="AJ37" s="87" t="e">
        <f ca="1">AJ36</f>
        <v>#NAME?</v>
      </c>
      <c r="AK37" s="86"/>
      <c r="AL37" s="86"/>
      <c r="AM37" s="88">
        <f ca="1">AM36</f>
        <v>41.505123127822323</v>
      </c>
      <c r="AN37" s="87" t="e">
        <f ca="1">AN36</f>
        <v>#NAME?</v>
      </c>
      <c r="AO37" s="86"/>
      <c r="AP37" s="86"/>
      <c r="AQ37" s="88">
        <f ca="1">AQ36</f>
        <v>40.214442962049596</v>
      </c>
      <c r="AR37" s="87" t="e">
        <f ca="1">AR36</f>
        <v>#NAME?</v>
      </c>
      <c r="AS37" s="86"/>
      <c r="AT37" s="86"/>
      <c r="AU37" s="88">
        <f ca="1">AU36</f>
        <v>38.517476434799121</v>
      </c>
      <c r="AV37" s="87" t="e">
        <f ca="1">AV36</f>
        <v>#NAME?</v>
      </c>
      <c r="AW37" s="406"/>
      <c r="AX37" s="406"/>
      <c r="AY37" s="406"/>
      <c r="AZ37" s="406"/>
    </row>
    <row r="38" spans="1:52" s="10" customFormat="1" ht="15.5">
      <c r="AS38" s="9"/>
      <c r="AT38" s="9"/>
      <c r="AU38" s="9"/>
      <c r="AV38" s="9"/>
    </row>
    <row r="39" spans="1:52" s="10" customFormat="1" ht="15.5">
      <c r="AS39" s="27"/>
      <c r="AT39" s="27"/>
      <c r="AU39" s="27"/>
      <c r="AV39" s="27"/>
    </row>
    <row r="40" spans="1:52" s="10" customFormat="1" ht="15.5">
      <c r="A40" s="7"/>
      <c r="E40" s="8"/>
      <c r="F40" s="8"/>
      <c r="G40" s="8"/>
      <c r="H40" s="8"/>
      <c r="AS40" s="27"/>
      <c r="AT40" s="27"/>
      <c r="AU40" s="27"/>
      <c r="AV40" s="27"/>
    </row>
    <row r="41" spans="1:52" s="10" customFormat="1" ht="15.5">
      <c r="A41" s="7"/>
      <c r="E41" s="8"/>
      <c r="F41" s="8"/>
      <c r="G41" s="8"/>
      <c r="H41" s="8"/>
      <c r="AS41" s="27"/>
      <c r="AT41" s="27"/>
      <c r="AU41" s="27"/>
      <c r="AV41" s="27"/>
    </row>
    <row r="42" spans="1:52" s="10" customFormat="1" ht="15.5">
      <c r="A42" s="7"/>
      <c r="E42" s="8"/>
      <c r="F42" s="8"/>
      <c r="G42" s="8"/>
      <c r="H42" s="8"/>
      <c r="AS42" s="27"/>
      <c r="AT42" s="27"/>
      <c r="AU42" s="27"/>
      <c r="AV42" s="27"/>
    </row>
    <row r="43" spans="1:52" s="10" customFormat="1" ht="15.5">
      <c r="A43" s="7"/>
      <c r="E43" s="8"/>
      <c r="F43" s="8"/>
      <c r="G43" s="8"/>
      <c r="H43" s="8"/>
      <c r="AS43" s="27"/>
      <c r="AT43" s="27"/>
      <c r="AU43" s="27"/>
      <c r="AV43" s="27"/>
    </row>
    <row r="44" spans="1:52" s="10" customFormat="1" ht="15.5">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row>
    <row r="45" spans="1:52" s="10" customFormat="1" ht="15.5">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row>
    <row r="46" spans="1:52" s="10" customFormat="1" ht="15.5">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row>
    <row r="47" spans="1:52" s="10" customFormat="1" ht="15.5">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row>
    <row r="48" spans="1:52" s="10" customFormat="1" ht="15.5">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row>
    <row r="49" spans="5:48" s="10" customFormat="1" ht="15.5">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row>
    <row r="50" spans="5:48" s="10" customFormat="1" ht="15.5">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row>
    <row r="51" spans="5:48" s="10" customFormat="1" ht="15.5">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row>
    <row r="52" spans="5:48" s="10" customFormat="1" ht="15.5">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row>
    <row r="53" spans="5:48" s="10" customFormat="1" ht="15.5">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row>
    <row r="54" spans="5:48" s="10" customFormat="1" ht="15.5">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row>
    <row r="55" spans="5:48" s="10" customFormat="1" ht="15.5">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row>
    <row r="56" spans="5:48" s="10" customFormat="1" ht="15.5">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row>
    <row r="57" spans="5:48" s="10" customFormat="1" ht="15.5">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row>
    <row r="58" spans="5:48" s="10" customFormat="1" ht="15.5">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row>
    <row r="59" spans="5:48" s="10" customFormat="1" ht="15.5">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row>
    <row r="60" spans="5:48" s="10" customFormat="1" ht="15.5">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row>
    <row r="61" spans="5:48" s="10" customFormat="1" ht="15.5">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row>
    <row r="62" spans="5:48" s="10" customFormat="1" ht="15.5">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row>
    <row r="63" spans="5:48" s="10" customFormat="1" ht="15.5">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row>
    <row r="64" spans="5:48" s="10" customFormat="1" ht="15.5">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row>
    <row r="65" spans="5:48" s="10" customFormat="1" ht="15.5">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row>
    <row r="66" spans="5:48" s="10" customFormat="1" ht="15.5">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row>
    <row r="67" spans="5:48" s="10" customFormat="1" ht="15.5">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row>
    <row r="68" spans="5:48" s="10" customFormat="1" ht="15.5">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row>
    <row r="69" spans="5:48" s="10" customFormat="1" ht="15.5">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row>
    <row r="70" spans="5:48" s="10" customFormat="1" ht="15.5">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row>
    <row r="71" spans="5:48" s="10" customFormat="1" ht="15.5">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row>
    <row r="72" spans="5:48" s="10" customFormat="1" ht="15.5">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row>
    <row r="73" spans="5:48" s="10" customFormat="1" ht="15.5">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row>
    <row r="74" spans="5:48" s="10" customFormat="1" ht="15.5">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row>
    <row r="75" spans="5:48" s="10" customFormat="1" ht="15.5">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row>
    <row r="76" spans="5:48" s="10" customFormat="1" ht="15.5">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row>
    <row r="77" spans="5:48" s="10" customFormat="1" ht="15.5">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row>
    <row r="78" spans="5:48" s="10" customFormat="1" ht="15.5">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row>
    <row r="79" spans="5:48" s="10" customFormat="1" ht="15.5">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row>
    <row r="80" spans="5:48" s="10" customFormat="1" ht="15.5">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row>
    <row r="81" spans="5:48" s="10" customFormat="1" ht="15.5">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row>
    <row r="82" spans="5:48" s="10" customFormat="1" ht="15.5">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row>
    <row r="83" spans="5:48" s="10" customFormat="1" ht="15.5">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row>
    <row r="84" spans="5:48" s="10" customFormat="1" ht="15.5">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row>
    <row r="85" spans="5:48" s="10" customFormat="1" ht="15.5">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row>
    <row r="86" spans="5:48" s="10" customFormat="1" ht="15.5">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row>
    <row r="87" spans="5:48" s="10" customFormat="1" ht="15.5">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row>
    <row r="88" spans="5:48" s="10" customFormat="1" ht="15.5">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row>
    <row r="89" spans="5:48" s="10" customFormat="1" ht="15.5">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row>
    <row r="90" spans="5:48" s="10" customFormat="1" ht="15.5">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row>
    <row r="91" spans="5:48" s="10" customFormat="1" ht="15.5">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row>
    <row r="92" spans="5:48" s="10" customFormat="1" ht="15.5">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row>
    <row r="93" spans="5:48" s="10" customFormat="1" ht="15.5">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row>
    <row r="94" spans="5:48" s="10" customFormat="1" ht="15.5">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row>
  </sheetData>
  <mergeCells count="29">
    <mergeCell ref="E21:H21"/>
    <mergeCell ref="M4:P4"/>
    <mergeCell ref="M21:P21"/>
    <mergeCell ref="I21:L21"/>
    <mergeCell ref="AG21:AJ21"/>
    <mergeCell ref="AC4:AF4"/>
    <mergeCell ref="AC21:AF21"/>
    <mergeCell ref="Q4:T4"/>
    <mergeCell ref="U4:X4"/>
    <mergeCell ref="Y4:AB4"/>
    <mergeCell ref="Q21:T21"/>
    <mergeCell ref="U21:X21"/>
    <mergeCell ref="Y21:AB21"/>
    <mergeCell ref="AO21:AR21"/>
    <mergeCell ref="AS21:AV21"/>
    <mergeCell ref="A1:AV1"/>
    <mergeCell ref="E4:H4"/>
    <mergeCell ref="AO4:AR4"/>
    <mergeCell ref="AS4:AV4"/>
    <mergeCell ref="C3:C4"/>
    <mergeCell ref="D3:D4"/>
    <mergeCell ref="C20:C21"/>
    <mergeCell ref="D20:D21"/>
    <mergeCell ref="AK4:AN4"/>
    <mergeCell ref="AK21:AN21"/>
    <mergeCell ref="I4:L4"/>
    <mergeCell ref="B3:B4"/>
    <mergeCell ref="B20:B21"/>
    <mergeCell ref="AG4:AJ4"/>
  </mergeCells>
  <conditionalFormatting sqref="C7">
    <cfRule type="cellIs" dxfId="159" priority="146" operator="equal">
      <formula>Temp_20K_Stage</formula>
    </cfRule>
    <cfRule type="cellIs" dxfId="158" priority="147" operator="equal">
      <formula>Temp_Inter_Stage</formula>
    </cfRule>
    <cfRule type="cellIs" dxfId="157" priority="148" operator="equal">
      <formula>Temp_80K_Stage</formula>
    </cfRule>
    <cfRule type="cellIs" dxfId="156" priority="149" operator="equal">
      <formula>Temp_Intermediate</formula>
    </cfRule>
    <cfRule type="cellIs" dxfId="155" priority="150" operator="equal">
      <formula>Temp_Ambient</formula>
    </cfRule>
  </conditionalFormatting>
  <conditionalFormatting sqref="B7">
    <cfRule type="cellIs" dxfId="154" priority="141" operator="equal">
      <formula>Temp_20K_Stage</formula>
    </cfRule>
    <cfRule type="cellIs" dxfId="153" priority="142" operator="equal">
      <formula>Temp_Inter_Stage</formula>
    </cfRule>
    <cfRule type="cellIs" dxfId="152" priority="143" operator="equal">
      <formula>Temp_80K_Stage</formula>
    </cfRule>
    <cfRule type="cellIs" dxfId="151" priority="144" operator="equal">
      <formula>Temp_Intermediate</formula>
    </cfRule>
    <cfRule type="cellIs" dxfId="150" priority="145" operator="equal">
      <formula>Temp_Ambient</formula>
    </cfRule>
  </conditionalFormatting>
  <conditionalFormatting sqref="C8:C10 C12 C15">
    <cfRule type="cellIs" dxfId="149" priority="136" operator="equal">
      <formula>Temp_20K_Stage</formula>
    </cfRule>
    <cfRule type="cellIs" dxfId="148" priority="137" operator="equal">
      <formula>Temp_Inter_Stage</formula>
    </cfRule>
    <cfRule type="cellIs" dxfId="147" priority="138" operator="equal">
      <formula>Temp_80K_Stage</formula>
    </cfRule>
    <cfRule type="cellIs" dxfId="146" priority="139" operator="equal">
      <formula>Temp_Intermediate</formula>
    </cfRule>
    <cfRule type="cellIs" dxfId="145" priority="140" operator="equal">
      <formula>Temp_Ambient</formula>
    </cfRule>
  </conditionalFormatting>
  <conditionalFormatting sqref="B8:B10 B12 B15">
    <cfRule type="cellIs" dxfId="144" priority="131" operator="equal">
      <formula>Temp_20K_Stage</formula>
    </cfRule>
    <cfRule type="cellIs" dxfId="143" priority="132" operator="equal">
      <formula>Temp_Inter_Stage</formula>
    </cfRule>
    <cfRule type="cellIs" dxfId="142" priority="133" operator="equal">
      <formula>Temp_80K_Stage</formula>
    </cfRule>
    <cfRule type="cellIs" dxfId="141" priority="134" operator="equal">
      <formula>Temp_Intermediate</formula>
    </cfRule>
    <cfRule type="cellIs" dxfId="140" priority="135" operator="equal">
      <formula>Temp_Ambient</formula>
    </cfRule>
  </conditionalFormatting>
  <conditionalFormatting sqref="C6">
    <cfRule type="cellIs" dxfId="139" priority="156" operator="equal">
      <formula>Temp_20K_Stage</formula>
    </cfRule>
    <cfRule type="cellIs" dxfId="138" priority="157" operator="equal">
      <formula>Temp_Inter_Stage</formula>
    </cfRule>
    <cfRule type="cellIs" dxfId="137" priority="158" operator="equal">
      <formula>Temp_80K_Stage</formula>
    </cfRule>
    <cfRule type="cellIs" dxfId="136" priority="159" operator="equal">
      <formula>Temp_Intermediate</formula>
    </cfRule>
    <cfRule type="cellIs" dxfId="135" priority="160" operator="equal">
      <formula>Temp_Ambient</formula>
    </cfRule>
  </conditionalFormatting>
  <conditionalFormatting sqref="B6">
    <cfRule type="cellIs" dxfId="134" priority="151" operator="equal">
      <formula>Temp_20K_Stage</formula>
    </cfRule>
    <cfRule type="cellIs" dxfId="133" priority="152" operator="equal">
      <formula>Temp_Inter_Stage</formula>
    </cfRule>
    <cfRule type="cellIs" dxfId="132" priority="153" operator="equal">
      <formula>Temp_80K_Stage</formula>
    </cfRule>
    <cfRule type="cellIs" dxfId="131" priority="154" operator="equal">
      <formula>Temp_Intermediate</formula>
    </cfRule>
    <cfRule type="cellIs" dxfId="130" priority="155" operator="equal">
      <formula>Temp_Ambient</formula>
    </cfRule>
  </conditionalFormatting>
  <conditionalFormatting sqref="C11 C14">
    <cfRule type="cellIs" dxfId="129" priority="126" operator="equal">
      <formula>Temp_20K_Stage</formula>
    </cfRule>
    <cfRule type="cellIs" dxfId="128" priority="127" operator="equal">
      <formula>Temp_Inter_Stage</formula>
    </cfRule>
    <cfRule type="cellIs" dxfId="127" priority="128" operator="equal">
      <formula>Temp_80K_Stage</formula>
    </cfRule>
    <cfRule type="cellIs" dxfId="126" priority="129" operator="equal">
      <formula>Temp_Intermediate</formula>
    </cfRule>
    <cfRule type="cellIs" dxfId="125" priority="130" operator="equal">
      <formula>Temp_Ambient</formula>
    </cfRule>
  </conditionalFormatting>
  <conditionalFormatting sqref="B11 B14">
    <cfRule type="cellIs" dxfId="124" priority="121" operator="equal">
      <formula>Temp_20K_Stage</formula>
    </cfRule>
    <cfRule type="cellIs" dxfId="123" priority="122" operator="equal">
      <formula>Temp_Inter_Stage</formula>
    </cfRule>
    <cfRule type="cellIs" dxfId="122" priority="123" operator="equal">
      <formula>Temp_80K_Stage</formula>
    </cfRule>
    <cfRule type="cellIs" dxfId="121" priority="124" operator="equal">
      <formula>Temp_Intermediate</formula>
    </cfRule>
    <cfRule type="cellIs" dxfId="120" priority="125" operator="equal">
      <formula>Temp_Ambient</formula>
    </cfRule>
  </conditionalFormatting>
  <conditionalFormatting sqref="C17">
    <cfRule type="cellIs" dxfId="119" priority="116" operator="equal">
      <formula>Temp_20K_Stage</formula>
    </cfRule>
    <cfRule type="cellIs" dxfId="118" priority="117" operator="equal">
      <formula>Temp_Inter_Stage</formula>
    </cfRule>
    <cfRule type="cellIs" dxfId="117" priority="118" operator="equal">
      <formula>Temp_80K_Stage</formula>
    </cfRule>
    <cfRule type="cellIs" dxfId="116" priority="119" operator="equal">
      <formula>Temp_Intermediate</formula>
    </cfRule>
    <cfRule type="cellIs" dxfId="115" priority="120" operator="equal">
      <formula>Temp_Ambient</formula>
    </cfRule>
  </conditionalFormatting>
  <conditionalFormatting sqref="B17">
    <cfRule type="cellIs" dxfId="114" priority="111" operator="equal">
      <formula>Temp_20K_Stage</formula>
    </cfRule>
    <cfRule type="cellIs" dxfId="113" priority="112" operator="equal">
      <formula>Temp_Inter_Stage</formula>
    </cfRule>
    <cfRule type="cellIs" dxfId="112" priority="113" operator="equal">
      <formula>Temp_80K_Stage</formula>
    </cfRule>
    <cfRule type="cellIs" dxfId="111" priority="114" operator="equal">
      <formula>Temp_Intermediate</formula>
    </cfRule>
    <cfRule type="cellIs" dxfId="110" priority="115" operator="equal">
      <formula>Temp_Ambient</formula>
    </cfRule>
  </conditionalFormatting>
  <conditionalFormatting sqref="C24">
    <cfRule type="cellIs" dxfId="109" priority="96" operator="equal">
      <formula>Temp_20K_Stage</formula>
    </cfRule>
    <cfRule type="cellIs" dxfId="108" priority="97" operator="equal">
      <formula>Temp_Inter_Stage</formula>
    </cfRule>
    <cfRule type="cellIs" dxfId="107" priority="98" operator="equal">
      <formula>Temp_80K_Stage</formula>
    </cfRule>
    <cfRule type="cellIs" dxfId="106" priority="99" operator="equal">
      <formula>Temp_Intermediate</formula>
    </cfRule>
    <cfRule type="cellIs" dxfId="105" priority="100" operator="equal">
      <formula>Temp_Ambient</formula>
    </cfRule>
  </conditionalFormatting>
  <conditionalFormatting sqref="B24">
    <cfRule type="cellIs" dxfId="104" priority="91" operator="equal">
      <formula>Temp_20K_Stage</formula>
    </cfRule>
    <cfRule type="cellIs" dxfId="103" priority="92" operator="equal">
      <formula>Temp_Inter_Stage</formula>
    </cfRule>
    <cfRule type="cellIs" dxfId="102" priority="93" operator="equal">
      <formula>Temp_80K_Stage</formula>
    </cfRule>
    <cfRule type="cellIs" dxfId="101" priority="94" operator="equal">
      <formula>Temp_Intermediate</formula>
    </cfRule>
    <cfRule type="cellIs" dxfId="100" priority="95" operator="equal">
      <formula>Temp_Ambient</formula>
    </cfRule>
  </conditionalFormatting>
  <conditionalFormatting sqref="C25:C27 C29 C32">
    <cfRule type="cellIs" dxfId="99" priority="86" operator="equal">
      <formula>Temp_20K_Stage</formula>
    </cfRule>
    <cfRule type="cellIs" dxfId="98" priority="87" operator="equal">
      <formula>Temp_Inter_Stage</formula>
    </cfRule>
    <cfRule type="cellIs" dxfId="97" priority="88" operator="equal">
      <formula>Temp_80K_Stage</formula>
    </cfRule>
    <cfRule type="cellIs" dxfId="96" priority="89" operator="equal">
      <formula>Temp_Intermediate</formula>
    </cfRule>
    <cfRule type="cellIs" dxfId="95" priority="90" operator="equal">
      <formula>Temp_Ambient</formula>
    </cfRule>
  </conditionalFormatting>
  <conditionalFormatting sqref="B25:B27 B29 B32">
    <cfRule type="cellIs" dxfId="94" priority="81" operator="equal">
      <formula>Temp_20K_Stage</formula>
    </cfRule>
    <cfRule type="cellIs" dxfId="93" priority="82" operator="equal">
      <formula>Temp_Inter_Stage</formula>
    </cfRule>
    <cfRule type="cellIs" dxfId="92" priority="83" operator="equal">
      <formula>Temp_80K_Stage</formula>
    </cfRule>
    <cfRule type="cellIs" dxfId="91" priority="84" operator="equal">
      <formula>Temp_Intermediate</formula>
    </cfRule>
    <cfRule type="cellIs" dxfId="90" priority="85" operator="equal">
      <formula>Temp_Ambient</formula>
    </cfRule>
  </conditionalFormatting>
  <conditionalFormatting sqref="C23">
    <cfRule type="cellIs" dxfId="89" priority="106" operator="equal">
      <formula>Temp_20K_Stage</formula>
    </cfRule>
    <cfRule type="cellIs" dxfId="88" priority="107" operator="equal">
      <formula>Temp_Inter_Stage</formula>
    </cfRule>
    <cfRule type="cellIs" dxfId="87" priority="108" operator="equal">
      <formula>Temp_80K_Stage</formula>
    </cfRule>
    <cfRule type="cellIs" dxfId="86" priority="109" operator="equal">
      <formula>Temp_Intermediate</formula>
    </cfRule>
    <cfRule type="cellIs" dxfId="85" priority="110" operator="equal">
      <formula>Temp_Ambient</formula>
    </cfRule>
  </conditionalFormatting>
  <conditionalFormatting sqref="B23">
    <cfRule type="cellIs" dxfId="84" priority="101" operator="equal">
      <formula>Temp_20K_Stage</formula>
    </cfRule>
    <cfRule type="cellIs" dxfId="83" priority="102" operator="equal">
      <formula>Temp_Inter_Stage</formula>
    </cfRule>
    <cfRule type="cellIs" dxfId="82" priority="103" operator="equal">
      <formula>Temp_80K_Stage</formula>
    </cfRule>
    <cfRule type="cellIs" dxfId="81" priority="104" operator="equal">
      <formula>Temp_Intermediate</formula>
    </cfRule>
    <cfRule type="cellIs" dxfId="80" priority="105" operator="equal">
      <formula>Temp_Ambient</formula>
    </cfRule>
  </conditionalFormatting>
  <conditionalFormatting sqref="C28 C31">
    <cfRule type="cellIs" dxfId="79" priority="76" operator="equal">
      <formula>Temp_20K_Stage</formula>
    </cfRule>
    <cfRule type="cellIs" dxfId="78" priority="77" operator="equal">
      <formula>Temp_Inter_Stage</formula>
    </cfRule>
    <cfRule type="cellIs" dxfId="77" priority="78" operator="equal">
      <formula>Temp_80K_Stage</formula>
    </cfRule>
    <cfRule type="cellIs" dxfId="76" priority="79" operator="equal">
      <formula>Temp_Intermediate</formula>
    </cfRule>
    <cfRule type="cellIs" dxfId="75" priority="80" operator="equal">
      <formula>Temp_Ambient</formula>
    </cfRule>
  </conditionalFormatting>
  <conditionalFormatting sqref="B28 B31">
    <cfRule type="cellIs" dxfId="74" priority="71" operator="equal">
      <formula>Temp_20K_Stage</formula>
    </cfRule>
    <cfRule type="cellIs" dxfId="73" priority="72" operator="equal">
      <formula>Temp_Inter_Stage</formula>
    </cfRule>
    <cfRule type="cellIs" dxfId="72" priority="73" operator="equal">
      <formula>Temp_80K_Stage</formula>
    </cfRule>
    <cfRule type="cellIs" dxfId="71" priority="74" operator="equal">
      <formula>Temp_Intermediate</formula>
    </cfRule>
    <cfRule type="cellIs" dxfId="70" priority="75" operator="equal">
      <formula>Temp_Ambient</formula>
    </cfRule>
  </conditionalFormatting>
  <conditionalFormatting sqref="C33">
    <cfRule type="cellIs" dxfId="69" priority="66" operator="equal">
      <formula>Temp_20K_Stage</formula>
    </cfRule>
    <cfRule type="cellIs" dxfId="68" priority="67" operator="equal">
      <formula>Temp_Inter_Stage</formula>
    </cfRule>
    <cfRule type="cellIs" dxfId="67" priority="68" operator="equal">
      <formula>Temp_80K_Stage</formula>
    </cfRule>
    <cfRule type="cellIs" dxfId="66" priority="69" operator="equal">
      <formula>Temp_Intermediate</formula>
    </cfRule>
    <cfRule type="cellIs" dxfId="65" priority="70" operator="equal">
      <formula>Temp_Ambient</formula>
    </cfRule>
  </conditionalFormatting>
  <conditionalFormatting sqref="B33">
    <cfRule type="cellIs" dxfId="64" priority="61" operator="equal">
      <formula>Temp_20K_Stage</formula>
    </cfRule>
    <cfRule type="cellIs" dxfId="63" priority="62" operator="equal">
      <formula>Temp_Inter_Stage</formula>
    </cfRule>
    <cfRule type="cellIs" dxfId="62" priority="63" operator="equal">
      <formula>Temp_80K_Stage</formula>
    </cfRule>
    <cfRule type="cellIs" dxfId="61" priority="64" operator="equal">
      <formula>Temp_Intermediate</formula>
    </cfRule>
    <cfRule type="cellIs" dxfId="60" priority="65" operator="equal">
      <formula>Temp_Ambient</formula>
    </cfRule>
  </conditionalFormatting>
  <conditionalFormatting sqref="C34">
    <cfRule type="cellIs" dxfId="59" priority="56" operator="equal">
      <formula>Temp_20K_Stage</formula>
    </cfRule>
    <cfRule type="cellIs" dxfId="58" priority="57" operator="equal">
      <formula>Temp_Inter_Stage</formula>
    </cfRule>
    <cfRule type="cellIs" dxfId="57" priority="58" operator="equal">
      <formula>Temp_80K_Stage</formula>
    </cfRule>
    <cfRule type="cellIs" dxfId="56" priority="59" operator="equal">
      <formula>Temp_Intermediate</formula>
    </cfRule>
    <cfRule type="cellIs" dxfId="55" priority="60" operator="equal">
      <formula>Temp_Ambient</formula>
    </cfRule>
  </conditionalFormatting>
  <conditionalFormatting sqref="B34">
    <cfRule type="cellIs" dxfId="54" priority="51" operator="equal">
      <formula>Temp_20K_Stage</formula>
    </cfRule>
    <cfRule type="cellIs" dxfId="53" priority="52" operator="equal">
      <formula>Temp_Inter_Stage</formula>
    </cfRule>
    <cfRule type="cellIs" dxfId="52" priority="53" operator="equal">
      <formula>Temp_80K_Stage</formula>
    </cfRule>
    <cfRule type="cellIs" dxfId="51" priority="54" operator="equal">
      <formula>Temp_Intermediate</formula>
    </cfRule>
    <cfRule type="cellIs" dxfId="50" priority="55" operator="equal">
      <formula>Temp_Ambient</formula>
    </cfRule>
  </conditionalFormatting>
  <conditionalFormatting sqref="C36">
    <cfRule type="cellIs" dxfId="49" priority="46" operator="equal">
      <formula>Temp_20K_Stage</formula>
    </cfRule>
    <cfRule type="cellIs" dxfId="48" priority="47" operator="equal">
      <formula>Temp_Inter_Stage</formula>
    </cfRule>
    <cfRule type="cellIs" dxfId="47" priority="48" operator="equal">
      <formula>Temp_80K_Stage</formula>
    </cfRule>
    <cfRule type="cellIs" dxfId="46" priority="49" operator="equal">
      <formula>Temp_Intermediate</formula>
    </cfRule>
    <cfRule type="cellIs" dxfId="45" priority="50" operator="equal">
      <formula>Temp_Ambient</formula>
    </cfRule>
  </conditionalFormatting>
  <conditionalFormatting sqref="B36">
    <cfRule type="cellIs" dxfId="44" priority="41" operator="equal">
      <formula>Temp_20K_Stage</formula>
    </cfRule>
    <cfRule type="cellIs" dxfId="43" priority="42" operator="equal">
      <formula>Temp_Inter_Stage</formula>
    </cfRule>
    <cfRule type="cellIs" dxfId="42" priority="43" operator="equal">
      <formula>Temp_80K_Stage</formula>
    </cfRule>
    <cfRule type="cellIs" dxfId="41" priority="44" operator="equal">
      <formula>Temp_Intermediate</formula>
    </cfRule>
    <cfRule type="cellIs" dxfId="40" priority="45" operator="equal">
      <formula>Temp_Ambient</formula>
    </cfRule>
  </conditionalFormatting>
  <conditionalFormatting sqref="C13">
    <cfRule type="cellIs" dxfId="39" priority="36" operator="equal">
      <formula>Temp_20K_Stage</formula>
    </cfRule>
    <cfRule type="cellIs" dxfId="38" priority="37" operator="equal">
      <formula>Temp_Inter_Stage</formula>
    </cfRule>
    <cfRule type="cellIs" dxfId="37" priority="38" operator="equal">
      <formula>Temp_80K_Stage</formula>
    </cfRule>
    <cfRule type="cellIs" dxfId="36" priority="39" operator="equal">
      <formula>Temp_Intermediate</formula>
    </cfRule>
    <cfRule type="cellIs" dxfId="35" priority="40" operator="equal">
      <formula>Temp_Ambient</formula>
    </cfRule>
  </conditionalFormatting>
  <conditionalFormatting sqref="B13">
    <cfRule type="cellIs" dxfId="34" priority="31" operator="equal">
      <formula>Temp_20K_Stage</formula>
    </cfRule>
    <cfRule type="cellIs" dxfId="33" priority="32" operator="equal">
      <formula>Temp_Inter_Stage</formula>
    </cfRule>
    <cfRule type="cellIs" dxfId="32" priority="33" operator="equal">
      <formula>Temp_80K_Stage</formula>
    </cfRule>
    <cfRule type="cellIs" dxfId="31" priority="34" operator="equal">
      <formula>Temp_Intermediate</formula>
    </cfRule>
    <cfRule type="cellIs" dxfId="30" priority="35" operator="equal">
      <formula>Temp_Ambient</formula>
    </cfRule>
  </conditionalFormatting>
  <conditionalFormatting sqref="C30">
    <cfRule type="cellIs" dxfId="29" priority="26" operator="equal">
      <formula>Temp_20K_Stage</formula>
    </cfRule>
    <cfRule type="cellIs" dxfId="28" priority="27" operator="equal">
      <formula>Temp_Inter_Stage</formula>
    </cfRule>
    <cfRule type="cellIs" dxfId="27" priority="28" operator="equal">
      <formula>Temp_80K_Stage</formula>
    </cfRule>
    <cfRule type="cellIs" dxfId="26" priority="29" operator="equal">
      <formula>Temp_Intermediate</formula>
    </cfRule>
    <cfRule type="cellIs" dxfId="25" priority="30" operator="equal">
      <formula>Temp_Ambient</formula>
    </cfRule>
  </conditionalFormatting>
  <conditionalFormatting sqref="B30">
    <cfRule type="cellIs" dxfId="24" priority="21" operator="equal">
      <formula>Temp_20K_Stage</formula>
    </cfRule>
    <cfRule type="cellIs" dxfId="23" priority="22" operator="equal">
      <formula>Temp_Inter_Stage</formula>
    </cfRule>
    <cfRule type="cellIs" dxfId="22" priority="23" operator="equal">
      <formula>Temp_80K_Stage</formula>
    </cfRule>
    <cfRule type="cellIs" dxfId="21" priority="24" operator="equal">
      <formula>Temp_Intermediate</formula>
    </cfRule>
    <cfRule type="cellIs" dxfId="20" priority="25" operator="equal">
      <formula>Temp_Ambient</formula>
    </cfRule>
  </conditionalFormatting>
  <conditionalFormatting sqref="C16">
    <cfRule type="cellIs" dxfId="19" priority="16" operator="equal">
      <formula>Temp_20K_Stage</formula>
    </cfRule>
    <cfRule type="cellIs" dxfId="18" priority="17" operator="equal">
      <formula>Temp_Inter_Stage</formula>
    </cfRule>
    <cfRule type="cellIs" dxfId="17" priority="18" operator="equal">
      <formula>Temp_80K_Stage</formula>
    </cfRule>
    <cfRule type="cellIs" dxfId="16" priority="19" operator="equal">
      <formula>Temp_Intermediate</formula>
    </cfRule>
    <cfRule type="cellIs" dxfId="15" priority="20" operator="equal">
      <formula>Temp_Ambient</formula>
    </cfRule>
  </conditionalFormatting>
  <conditionalFormatting sqref="B16">
    <cfRule type="cellIs" dxfId="14" priority="11" operator="equal">
      <formula>Temp_20K_Stage</formula>
    </cfRule>
    <cfRule type="cellIs" dxfId="13" priority="12" operator="equal">
      <formula>Temp_Inter_Stage</formula>
    </cfRule>
    <cfRule type="cellIs" dxfId="12" priority="13" operator="equal">
      <formula>Temp_80K_Stage</formula>
    </cfRule>
    <cfRule type="cellIs" dxfId="11" priority="14" operator="equal">
      <formula>Temp_Intermediate</formula>
    </cfRule>
    <cfRule type="cellIs" dxfId="10" priority="15" operator="equal">
      <formula>Temp_Ambient</formula>
    </cfRule>
  </conditionalFormatting>
  <conditionalFormatting sqref="C35">
    <cfRule type="cellIs" dxfId="9" priority="6" operator="equal">
      <formula>Temp_20K_Stage</formula>
    </cfRule>
    <cfRule type="cellIs" dxfId="8" priority="7" operator="equal">
      <formula>Temp_Inter_Stage</formula>
    </cfRule>
    <cfRule type="cellIs" dxfId="7" priority="8" operator="equal">
      <formula>Temp_80K_Stage</formula>
    </cfRule>
    <cfRule type="cellIs" dxfId="6" priority="9" operator="equal">
      <formula>Temp_Intermediate</formula>
    </cfRule>
    <cfRule type="cellIs" dxfId="5" priority="10" operator="equal">
      <formula>Temp_Ambient</formula>
    </cfRule>
  </conditionalFormatting>
  <conditionalFormatting sqref="B35">
    <cfRule type="cellIs" dxfId="4" priority="1" operator="equal">
      <formula>Temp_20K_Stage</formula>
    </cfRule>
    <cfRule type="cellIs" dxfId="3" priority="2" operator="equal">
      <formula>Temp_Inter_Stage</formula>
    </cfRule>
    <cfRule type="cellIs" dxfId="2" priority="3" operator="equal">
      <formula>Temp_80K_Stage</formula>
    </cfRule>
    <cfRule type="cellIs" dxfId="1" priority="4" operator="equal">
      <formula>Temp_Intermediate</formula>
    </cfRule>
    <cfRule type="cellIs" dxfId="0" priority="5" operator="equal">
      <formula>Temp_Ambient</formula>
    </cfRule>
  </conditionalFormatting>
  <dataValidations count="2">
    <dataValidation type="list" allowBlank="1" showInputMessage="1" showErrorMessage="1" sqref="A7:A17 A24:A36" xr:uid="{00000000-0002-0000-0400-000000000000}">
      <formula1>Component_List</formula1>
    </dataValidation>
    <dataValidation type="list" allowBlank="1" showInputMessage="1" showErrorMessage="1" sqref="B6:B17 B23:B36" xr:uid="{00000000-0002-0000-0400-000001000000}">
      <formula1>"1,2,3,4,5"</formula1>
    </dataValidation>
  </dataValidations>
  <pageMargins left="0.7" right="0.7" top="0.75" bottom="0.75" header="0.3" footer="0.3"/>
  <pageSetup scale="3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Button 3">
              <controlPr defaultSize="0" print="0" autoFill="0" autoPict="0" macro="[0]!UpdateAll">
                <anchor moveWithCells="1" sizeWithCells="1">
                  <from>
                    <xdr:col>0</xdr:col>
                    <xdr:colOff>57150</xdr:colOff>
                    <xdr:row>1</xdr:row>
                    <xdr:rowOff>38100</xdr:rowOff>
                  </from>
                  <to>
                    <xdr:col>0</xdr:col>
                    <xdr:colOff>1346200</xdr:colOff>
                    <xdr:row>1</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00000"/>
    <pageSetUpPr fitToPage="1"/>
  </sheetPr>
  <dimension ref="A1:AA1196"/>
  <sheetViews>
    <sheetView zoomScale="85" zoomScaleNormal="85" workbookViewId="0">
      <selection activeCell="A3" sqref="A3"/>
    </sheetView>
  </sheetViews>
  <sheetFormatPr defaultColWidth="12.54296875" defaultRowHeight="12.5"/>
  <cols>
    <col min="1" max="1" width="7.7265625" style="229" customWidth="1"/>
    <col min="2" max="16" width="6.7265625" style="229" customWidth="1"/>
    <col min="17" max="17" width="3.54296875" style="228" customWidth="1"/>
    <col min="18" max="25" width="12.54296875" style="228"/>
    <col min="26" max="26" width="7.7265625" style="229" customWidth="1"/>
    <col min="27" max="27" width="7.7265625" style="374" customWidth="1"/>
    <col min="28" max="28" width="4" style="228" customWidth="1"/>
    <col min="29" max="16384" width="12.54296875" style="228"/>
  </cols>
  <sheetData>
    <row r="1" spans="1:27" ht="15.5">
      <c r="A1" s="250" t="s">
        <v>138</v>
      </c>
      <c r="B1" s="226"/>
      <c r="C1" s="226"/>
      <c r="D1" s="226"/>
      <c r="E1" s="226"/>
      <c r="F1" s="226"/>
      <c r="G1" s="226"/>
      <c r="H1" s="226"/>
      <c r="I1" s="226"/>
      <c r="J1" s="226"/>
      <c r="K1" s="226"/>
      <c r="L1" s="226"/>
      <c r="M1" s="226"/>
      <c r="N1" s="226"/>
      <c r="O1" s="226"/>
      <c r="P1" s="226"/>
      <c r="Q1" s="227"/>
      <c r="R1" s="227"/>
      <c r="S1" s="227"/>
      <c r="T1" s="227"/>
      <c r="U1" s="227"/>
      <c r="V1" s="227"/>
      <c r="W1" s="227"/>
      <c r="X1" s="227"/>
      <c r="Y1" s="227"/>
      <c r="Z1" s="250"/>
      <c r="AA1" s="373"/>
    </row>
    <row r="2" spans="1:27" ht="13" thickBot="1"/>
    <row r="3" spans="1:27" ht="13.5" thickBot="1">
      <c r="B3" s="626" t="s">
        <v>62</v>
      </c>
      <c r="C3" s="627"/>
      <c r="D3" s="628"/>
      <c r="E3" s="626" t="s">
        <v>131</v>
      </c>
      <c r="F3" s="627"/>
      <c r="G3" s="628"/>
      <c r="H3" s="626" t="s">
        <v>63</v>
      </c>
      <c r="I3" s="627"/>
      <c r="J3" s="628"/>
      <c r="K3" s="626" t="s">
        <v>132</v>
      </c>
      <c r="L3" s="627"/>
      <c r="M3" s="628"/>
      <c r="N3" s="626" t="s">
        <v>133</v>
      </c>
      <c r="O3" s="627"/>
      <c r="P3" s="628"/>
      <c r="R3" s="230" t="s">
        <v>221</v>
      </c>
      <c r="Z3" s="632" t="s">
        <v>222</v>
      </c>
      <c r="AA3" s="633"/>
    </row>
    <row r="4" spans="1:27" ht="16.5" customHeight="1">
      <c r="A4" s="231" t="s">
        <v>11</v>
      </c>
      <c r="B4" s="629" t="s">
        <v>139</v>
      </c>
      <c r="C4" s="630"/>
      <c r="D4" s="631"/>
      <c r="E4" s="629" t="s">
        <v>139</v>
      </c>
      <c r="F4" s="630"/>
      <c r="G4" s="631"/>
      <c r="H4" s="629" t="s">
        <v>139</v>
      </c>
      <c r="I4" s="630"/>
      <c r="J4" s="631"/>
      <c r="K4" s="629" t="s">
        <v>139</v>
      </c>
      <c r="L4" s="630"/>
      <c r="M4" s="631"/>
      <c r="N4" s="629" t="s">
        <v>139</v>
      </c>
      <c r="O4" s="630"/>
      <c r="P4" s="631"/>
      <c r="Z4" s="231" t="s">
        <v>11</v>
      </c>
      <c r="AA4" s="375" t="s">
        <v>223</v>
      </c>
    </row>
    <row r="5" spans="1:27" ht="16.5" customHeight="1" thickBot="1">
      <c r="A5" s="232" t="s">
        <v>26</v>
      </c>
      <c r="B5" s="233">
        <v>1</v>
      </c>
      <c r="C5" s="234">
        <v>6</v>
      </c>
      <c r="D5" s="235">
        <v>13</v>
      </c>
      <c r="E5" s="233">
        <v>1</v>
      </c>
      <c r="F5" s="234">
        <v>6</v>
      </c>
      <c r="G5" s="235">
        <v>13</v>
      </c>
      <c r="H5" s="233">
        <v>1</v>
      </c>
      <c r="I5" s="234">
        <v>6</v>
      </c>
      <c r="J5" s="235">
        <v>13</v>
      </c>
      <c r="K5" s="233">
        <v>1</v>
      </c>
      <c r="L5" s="234">
        <v>6</v>
      </c>
      <c r="M5" s="235">
        <v>13</v>
      </c>
      <c r="N5" s="233">
        <v>1</v>
      </c>
      <c r="O5" s="234">
        <v>6</v>
      </c>
      <c r="P5" s="235">
        <v>13</v>
      </c>
      <c r="Z5" s="232" t="s">
        <v>26</v>
      </c>
      <c r="AA5" s="360" t="s">
        <v>29</v>
      </c>
    </row>
    <row r="6" spans="1:27" ht="13" thickTop="1">
      <c r="A6" s="236">
        <v>1</v>
      </c>
      <c r="B6" s="237">
        <v>3.9</v>
      </c>
      <c r="C6" s="238">
        <v>3.9</v>
      </c>
      <c r="D6" s="239">
        <v>3.9</v>
      </c>
      <c r="E6" s="237">
        <v>4.0999999999999996</v>
      </c>
      <c r="F6" s="238">
        <v>4.0999999999999996</v>
      </c>
      <c r="G6" s="239">
        <v>4.0999999999999996</v>
      </c>
      <c r="H6" s="237">
        <v>4.4000000000000004</v>
      </c>
      <c r="I6" s="238">
        <v>4.4000000000000004</v>
      </c>
      <c r="J6" s="239">
        <v>4.4000000000000004</v>
      </c>
      <c r="K6" s="237">
        <v>5.0999999999999996</v>
      </c>
      <c r="L6" s="238">
        <v>5</v>
      </c>
      <c r="M6" s="239">
        <v>5.0999999999999996</v>
      </c>
      <c r="N6" s="237">
        <v>7.2</v>
      </c>
      <c r="O6" s="238">
        <v>7.2</v>
      </c>
      <c r="P6" s="239">
        <v>7.2</v>
      </c>
      <c r="Z6" s="236">
        <v>1</v>
      </c>
      <c r="AA6" s="376">
        <f>T_gal(Z6)</f>
        <v>2.1414896969570316</v>
      </c>
    </row>
    <row r="7" spans="1:27">
      <c r="A7" s="240">
        <f t="shared" ref="A7:A70" si="0">A6+0.1</f>
        <v>1.1000000000000001</v>
      </c>
      <c r="B7" s="241">
        <v>3.9</v>
      </c>
      <c r="C7" s="242">
        <v>3.9</v>
      </c>
      <c r="D7" s="243">
        <v>3.9</v>
      </c>
      <c r="E7" s="241">
        <v>4.0999999999999996</v>
      </c>
      <c r="F7" s="242">
        <v>4.0999999999999996</v>
      </c>
      <c r="G7" s="243">
        <v>4.0999999999999996</v>
      </c>
      <c r="H7" s="241">
        <v>4.4000000000000004</v>
      </c>
      <c r="I7" s="242">
        <v>4.4000000000000004</v>
      </c>
      <c r="J7" s="243">
        <v>4.4000000000000004</v>
      </c>
      <c r="K7" s="241">
        <v>5.0999999999999996</v>
      </c>
      <c r="L7" s="242">
        <v>5.0999999999999996</v>
      </c>
      <c r="M7" s="243">
        <v>5.0999999999999996</v>
      </c>
      <c r="N7" s="241">
        <v>7.3</v>
      </c>
      <c r="O7" s="242">
        <v>7.2</v>
      </c>
      <c r="P7" s="243">
        <v>7.3</v>
      </c>
      <c r="Z7" s="240">
        <f t="shared" ref="Z7:Z70" si="1">Z6+0.1</f>
        <v>1.1000000000000001</v>
      </c>
      <c r="AA7" s="376">
        <f t="shared" ref="AA7:AA70" si="2">T_gal(Z7)</f>
        <v>1.6477302131382388</v>
      </c>
    </row>
    <row r="8" spans="1:27">
      <c r="A8" s="244">
        <f t="shared" si="0"/>
        <v>1.2000000000000002</v>
      </c>
      <c r="B8" s="241">
        <v>3.9</v>
      </c>
      <c r="C8" s="242">
        <v>3.9</v>
      </c>
      <c r="D8" s="243">
        <v>3.9</v>
      </c>
      <c r="E8" s="241">
        <v>4.0999999999999996</v>
      </c>
      <c r="F8" s="242">
        <v>4.0999999999999996</v>
      </c>
      <c r="G8" s="243">
        <v>4.0999999999999996</v>
      </c>
      <c r="H8" s="241">
        <v>4.4000000000000004</v>
      </c>
      <c r="I8" s="242">
        <v>4.4000000000000004</v>
      </c>
      <c r="J8" s="243">
        <v>4.4000000000000004</v>
      </c>
      <c r="K8" s="241">
        <v>5.0999999999999996</v>
      </c>
      <c r="L8" s="242">
        <v>5.0999999999999996</v>
      </c>
      <c r="M8" s="243">
        <v>5.0999999999999996</v>
      </c>
      <c r="N8" s="241">
        <v>7.4</v>
      </c>
      <c r="O8" s="242">
        <v>7.3</v>
      </c>
      <c r="P8" s="243">
        <v>7.3</v>
      </c>
      <c r="Z8" s="244">
        <f t="shared" si="1"/>
        <v>1.2000000000000002</v>
      </c>
      <c r="AA8" s="376">
        <f t="shared" si="2"/>
        <v>1.2970823885887615</v>
      </c>
    </row>
    <row r="9" spans="1:27">
      <c r="A9" s="244">
        <f t="shared" si="0"/>
        <v>1.3000000000000003</v>
      </c>
      <c r="B9" s="241">
        <v>3.9</v>
      </c>
      <c r="C9" s="242">
        <v>3.9</v>
      </c>
      <c r="D9" s="243">
        <v>3.9</v>
      </c>
      <c r="E9" s="241">
        <v>4.0999999999999996</v>
      </c>
      <c r="F9" s="242">
        <v>4.0999999999999996</v>
      </c>
      <c r="G9" s="243">
        <v>4.0999999999999996</v>
      </c>
      <c r="H9" s="241">
        <v>4.4000000000000004</v>
      </c>
      <c r="I9" s="242">
        <v>4.4000000000000004</v>
      </c>
      <c r="J9" s="243">
        <v>4.4000000000000004</v>
      </c>
      <c r="K9" s="241">
        <v>5.2</v>
      </c>
      <c r="L9" s="242">
        <v>5.0999999999999996</v>
      </c>
      <c r="M9" s="243">
        <v>5.2</v>
      </c>
      <c r="N9" s="241">
        <v>7.4</v>
      </c>
      <c r="O9" s="242">
        <v>7.4</v>
      </c>
      <c r="P9" s="243">
        <v>7.4</v>
      </c>
      <c r="Z9" s="244">
        <f t="shared" si="1"/>
        <v>1.3000000000000003</v>
      </c>
      <c r="AA9" s="376">
        <f t="shared" si="2"/>
        <v>1.040810753003921</v>
      </c>
    </row>
    <row r="10" spans="1:27">
      <c r="A10" s="244">
        <f t="shared" si="0"/>
        <v>1.4000000000000004</v>
      </c>
      <c r="B10" s="241">
        <v>3.9</v>
      </c>
      <c r="C10" s="242">
        <v>3.9</v>
      </c>
      <c r="D10" s="243">
        <v>3.9</v>
      </c>
      <c r="E10" s="241">
        <v>4.0999999999999996</v>
      </c>
      <c r="F10" s="242">
        <v>4.0999999999999996</v>
      </c>
      <c r="G10" s="243">
        <v>4.0999999999999996</v>
      </c>
      <c r="H10" s="241">
        <v>4.5</v>
      </c>
      <c r="I10" s="242">
        <v>4.4000000000000004</v>
      </c>
      <c r="J10" s="243">
        <v>4.5</v>
      </c>
      <c r="K10" s="241">
        <v>5.2</v>
      </c>
      <c r="L10" s="242">
        <v>5.2</v>
      </c>
      <c r="M10" s="243">
        <v>5.2</v>
      </c>
      <c r="N10" s="241">
        <v>7.5</v>
      </c>
      <c r="O10" s="242">
        <v>7.4</v>
      </c>
      <c r="P10" s="243">
        <v>7.4</v>
      </c>
      <c r="Z10" s="244">
        <f t="shared" si="1"/>
        <v>1.4000000000000004</v>
      </c>
      <c r="AA10" s="376">
        <f t="shared" si="2"/>
        <v>0.84891438172536993</v>
      </c>
    </row>
    <row r="11" spans="1:27">
      <c r="A11" s="244">
        <f t="shared" si="0"/>
        <v>1.5000000000000004</v>
      </c>
      <c r="B11" s="241">
        <v>4</v>
      </c>
      <c r="C11" s="242">
        <v>3.9</v>
      </c>
      <c r="D11" s="243">
        <v>4</v>
      </c>
      <c r="E11" s="241">
        <v>4.2</v>
      </c>
      <c r="F11" s="242">
        <v>4.0999999999999996</v>
      </c>
      <c r="G11" s="243">
        <v>4.0999999999999996</v>
      </c>
      <c r="H11" s="241">
        <v>4.5</v>
      </c>
      <c r="I11" s="242">
        <v>4.5</v>
      </c>
      <c r="J11" s="243">
        <v>4.5</v>
      </c>
      <c r="K11" s="241">
        <v>5.2</v>
      </c>
      <c r="L11" s="242">
        <v>5.2</v>
      </c>
      <c r="M11" s="243">
        <v>5.2</v>
      </c>
      <c r="N11" s="241">
        <v>7.5</v>
      </c>
      <c r="O11" s="242">
        <v>7.4</v>
      </c>
      <c r="P11" s="243">
        <v>7.5</v>
      </c>
      <c r="Z11" s="244">
        <f t="shared" si="1"/>
        <v>1.5000000000000004</v>
      </c>
      <c r="AA11" s="376">
        <f t="shared" si="2"/>
        <v>0.7022067937324048</v>
      </c>
    </row>
    <row r="12" spans="1:27">
      <c r="A12" s="244">
        <f t="shared" si="0"/>
        <v>1.6000000000000005</v>
      </c>
      <c r="B12" s="241">
        <v>4</v>
      </c>
      <c r="C12" s="242">
        <v>4</v>
      </c>
      <c r="D12" s="243">
        <v>4</v>
      </c>
      <c r="E12" s="241">
        <v>4.2</v>
      </c>
      <c r="F12" s="242">
        <v>4.0999999999999996</v>
      </c>
      <c r="G12" s="243">
        <v>4.2</v>
      </c>
      <c r="H12" s="241">
        <v>4.5</v>
      </c>
      <c r="I12" s="242">
        <v>4.5</v>
      </c>
      <c r="J12" s="243">
        <v>4.5</v>
      </c>
      <c r="K12" s="241">
        <v>5.2</v>
      </c>
      <c r="L12" s="242">
        <v>5.2</v>
      </c>
      <c r="M12" s="243">
        <v>5.2</v>
      </c>
      <c r="N12" s="241">
        <v>7.5</v>
      </c>
      <c r="O12" s="242">
        <v>7.5</v>
      </c>
      <c r="P12" s="243">
        <v>7.5</v>
      </c>
      <c r="Z12" s="244">
        <f t="shared" si="1"/>
        <v>1.6000000000000005</v>
      </c>
      <c r="AA12" s="376">
        <f t="shared" si="2"/>
        <v>0.58801179397865977</v>
      </c>
    </row>
    <row r="13" spans="1:27">
      <c r="A13" s="244">
        <f t="shared" si="0"/>
        <v>1.7000000000000006</v>
      </c>
      <c r="B13" s="241">
        <v>4</v>
      </c>
      <c r="C13" s="242">
        <v>4</v>
      </c>
      <c r="D13" s="243">
        <v>4</v>
      </c>
      <c r="E13" s="241">
        <v>4.2</v>
      </c>
      <c r="F13" s="242">
        <v>4.2</v>
      </c>
      <c r="G13" s="243">
        <v>4.2</v>
      </c>
      <c r="H13" s="241">
        <v>4.5</v>
      </c>
      <c r="I13" s="242">
        <v>4.5</v>
      </c>
      <c r="J13" s="243">
        <v>4.5</v>
      </c>
      <c r="K13" s="241">
        <v>5.2</v>
      </c>
      <c r="L13" s="242">
        <v>5.2</v>
      </c>
      <c r="M13" s="243">
        <v>5.2</v>
      </c>
      <c r="N13" s="241">
        <v>7.5</v>
      </c>
      <c r="O13" s="242">
        <v>7.5</v>
      </c>
      <c r="P13" s="243">
        <v>7.5</v>
      </c>
      <c r="Z13" s="244">
        <f t="shared" si="1"/>
        <v>1.7000000000000006</v>
      </c>
      <c r="AA13" s="376">
        <f t="shared" si="2"/>
        <v>0.49771583190196766</v>
      </c>
    </row>
    <row r="14" spans="1:27">
      <c r="A14" s="244">
        <f t="shared" si="0"/>
        <v>1.8000000000000007</v>
      </c>
      <c r="B14" s="241">
        <v>4</v>
      </c>
      <c r="C14" s="242">
        <v>4</v>
      </c>
      <c r="D14" s="243">
        <v>4</v>
      </c>
      <c r="E14" s="241">
        <v>4.2</v>
      </c>
      <c r="F14" s="242">
        <v>4.2</v>
      </c>
      <c r="G14" s="243">
        <v>4.2</v>
      </c>
      <c r="H14" s="241">
        <v>4.5</v>
      </c>
      <c r="I14" s="242">
        <v>4.5</v>
      </c>
      <c r="J14" s="243">
        <v>4.5</v>
      </c>
      <c r="K14" s="241">
        <v>5.2</v>
      </c>
      <c r="L14" s="242">
        <v>5.2</v>
      </c>
      <c r="M14" s="243">
        <v>5.2</v>
      </c>
      <c r="N14" s="241">
        <v>7.6</v>
      </c>
      <c r="O14" s="242">
        <v>7.5</v>
      </c>
      <c r="P14" s="243">
        <v>7.6</v>
      </c>
      <c r="Z14" s="244">
        <f t="shared" si="1"/>
        <v>1.8000000000000007</v>
      </c>
      <c r="AA14" s="376">
        <f t="shared" si="2"/>
        <v>0.42532077861122614</v>
      </c>
    </row>
    <row r="15" spans="1:27">
      <c r="A15" s="244">
        <f t="shared" si="0"/>
        <v>1.9000000000000008</v>
      </c>
      <c r="B15" s="241">
        <v>4</v>
      </c>
      <c r="C15" s="242">
        <v>4</v>
      </c>
      <c r="D15" s="243">
        <v>4</v>
      </c>
      <c r="E15" s="241">
        <v>4.2</v>
      </c>
      <c r="F15" s="242">
        <v>4.2</v>
      </c>
      <c r="G15" s="243">
        <v>4.2</v>
      </c>
      <c r="H15" s="241">
        <v>4.5</v>
      </c>
      <c r="I15" s="242">
        <v>4.5</v>
      </c>
      <c r="J15" s="243">
        <v>4.5</v>
      </c>
      <c r="K15" s="241">
        <v>5.3</v>
      </c>
      <c r="L15" s="242">
        <v>5.2</v>
      </c>
      <c r="M15" s="243">
        <v>5.3</v>
      </c>
      <c r="N15" s="241">
        <v>7.6</v>
      </c>
      <c r="O15" s="242">
        <v>7.5</v>
      </c>
      <c r="P15" s="243">
        <v>7.6</v>
      </c>
      <c r="Z15" s="244">
        <f t="shared" si="1"/>
        <v>1.9000000000000008</v>
      </c>
      <c r="AA15" s="376">
        <f t="shared" si="2"/>
        <v>0.36655874645154923</v>
      </c>
    </row>
    <row r="16" spans="1:27">
      <c r="A16" s="244">
        <f t="shared" si="0"/>
        <v>2.0000000000000009</v>
      </c>
      <c r="B16" s="241">
        <v>4</v>
      </c>
      <c r="C16" s="242">
        <v>4</v>
      </c>
      <c r="D16" s="243">
        <v>4</v>
      </c>
      <c r="E16" s="241">
        <v>4.2</v>
      </c>
      <c r="F16" s="242">
        <v>4.2</v>
      </c>
      <c r="G16" s="243">
        <v>4.2</v>
      </c>
      <c r="H16" s="241">
        <v>4.5</v>
      </c>
      <c r="I16" s="242">
        <v>4.5</v>
      </c>
      <c r="J16" s="243">
        <v>4.5</v>
      </c>
      <c r="K16" s="241">
        <v>5.3</v>
      </c>
      <c r="L16" s="242">
        <v>5.2</v>
      </c>
      <c r="M16" s="243">
        <v>5.3</v>
      </c>
      <c r="N16" s="241">
        <v>7.6</v>
      </c>
      <c r="O16" s="242">
        <v>7.6</v>
      </c>
      <c r="P16" s="243">
        <v>7.6</v>
      </c>
      <c r="Z16" s="244">
        <f t="shared" si="1"/>
        <v>2.0000000000000009</v>
      </c>
      <c r="AA16" s="376">
        <f t="shared" si="2"/>
        <v>0.31833434804079008</v>
      </c>
    </row>
    <row r="17" spans="1:27">
      <c r="A17" s="240">
        <f t="shared" si="0"/>
        <v>2.100000000000001</v>
      </c>
      <c r="B17" s="241">
        <v>4</v>
      </c>
      <c r="C17" s="242">
        <v>4</v>
      </c>
      <c r="D17" s="243">
        <v>4</v>
      </c>
      <c r="E17" s="241">
        <v>4.2</v>
      </c>
      <c r="F17" s="242">
        <v>4.2</v>
      </c>
      <c r="G17" s="243">
        <v>4.2</v>
      </c>
      <c r="H17" s="241">
        <v>4.5</v>
      </c>
      <c r="I17" s="242">
        <v>4.5</v>
      </c>
      <c r="J17" s="243">
        <v>4.5</v>
      </c>
      <c r="K17" s="241">
        <v>5.3</v>
      </c>
      <c r="L17" s="242">
        <v>5.2</v>
      </c>
      <c r="M17" s="243">
        <v>5.3</v>
      </c>
      <c r="N17" s="241">
        <v>7.6</v>
      </c>
      <c r="O17" s="242">
        <v>7.6</v>
      </c>
      <c r="P17" s="243">
        <v>7.6</v>
      </c>
      <c r="Z17" s="240">
        <f t="shared" si="1"/>
        <v>2.100000000000001</v>
      </c>
      <c r="AA17" s="376">
        <f t="shared" si="2"/>
        <v>0.27836391040860547</v>
      </c>
    </row>
    <row r="18" spans="1:27">
      <c r="A18" s="244">
        <f t="shared" si="0"/>
        <v>2.2000000000000011</v>
      </c>
      <c r="B18" s="241">
        <v>4</v>
      </c>
      <c r="C18" s="242">
        <v>4</v>
      </c>
      <c r="D18" s="243">
        <v>4</v>
      </c>
      <c r="E18" s="241">
        <v>4.2</v>
      </c>
      <c r="F18" s="242">
        <v>4.2</v>
      </c>
      <c r="G18" s="243">
        <v>4.2</v>
      </c>
      <c r="H18" s="241">
        <v>4.5</v>
      </c>
      <c r="I18" s="242">
        <v>4.5</v>
      </c>
      <c r="J18" s="243">
        <v>4.5</v>
      </c>
      <c r="K18" s="241">
        <v>5.3</v>
      </c>
      <c r="L18" s="242">
        <v>5.3</v>
      </c>
      <c r="M18" s="243">
        <v>5.3</v>
      </c>
      <c r="N18" s="241">
        <v>7.6</v>
      </c>
      <c r="O18" s="242">
        <v>7.6</v>
      </c>
      <c r="P18" s="243">
        <v>7.7</v>
      </c>
      <c r="Z18" s="244">
        <f t="shared" si="1"/>
        <v>2.2000000000000011</v>
      </c>
      <c r="AA18" s="376">
        <f t="shared" si="2"/>
        <v>0.24493656163361766</v>
      </c>
    </row>
    <row r="19" spans="1:27">
      <c r="A19" s="244">
        <f t="shared" si="0"/>
        <v>2.3000000000000012</v>
      </c>
      <c r="B19" s="241">
        <v>4</v>
      </c>
      <c r="C19" s="242">
        <v>4</v>
      </c>
      <c r="D19" s="243">
        <v>4</v>
      </c>
      <c r="E19" s="241">
        <v>4.2</v>
      </c>
      <c r="F19" s="242">
        <v>4.2</v>
      </c>
      <c r="G19" s="243">
        <v>4.2</v>
      </c>
      <c r="H19" s="241">
        <v>4.5</v>
      </c>
      <c r="I19" s="242">
        <v>4.5</v>
      </c>
      <c r="J19" s="243">
        <v>4.5</v>
      </c>
      <c r="K19" s="241">
        <v>5.3</v>
      </c>
      <c r="L19" s="242">
        <v>5.3</v>
      </c>
      <c r="M19" s="243">
        <v>5.3</v>
      </c>
      <c r="N19" s="241">
        <v>7.7</v>
      </c>
      <c r="O19" s="242">
        <v>7.6</v>
      </c>
      <c r="P19" s="243">
        <v>7.7</v>
      </c>
      <c r="Z19" s="244">
        <f t="shared" si="1"/>
        <v>2.3000000000000012</v>
      </c>
      <c r="AA19" s="376">
        <f t="shared" si="2"/>
        <v>0.21675266217840708</v>
      </c>
    </row>
    <row r="20" spans="1:27">
      <c r="A20" s="244">
        <f t="shared" si="0"/>
        <v>2.4000000000000012</v>
      </c>
      <c r="B20" s="241">
        <v>4</v>
      </c>
      <c r="C20" s="242">
        <v>4</v>
      </c>
      <c r="D20" s="243">
        <v>4</v>
      </c>
      <c r="E20" s="241">
        <v>4.2</v>
      </c>
      <c r="F20" s="242">
        <v>4.2</v>
      </c>
      <c r="G20" s="243">
        <v>4.2</v>
      </c>
      <c r="H20" s="241">
        <v>4.5</v>
      </c>
      <c r="I20" s="242">
        <v>4.5</v>
      </c>
      <c r="J20" s="243">
        <v>4.5</v>
      </c>
      <c r="K20" s="241">
        <v>5.3</v>
      </c>
      <c r="L20" s="242">
        <v>5.3</v>
      </c>
      <c r="M20" s="243">
        <v>5.3</v>
      </c>
      <c r="N20" s="241">
        <v>7.7</v>
      </c>
      <c r="O20" s="242">
        <v>7.6</v>
      </c>
      <c r="P20" s="243">
        <v>7.7</v>
      </c>
      <c r="Z20" s="244">
        <f t="shared" si="1"/>
        <v>2.4000000000000012</v>
      </c>
      <c r="AA20" s="376">
        <f t="shared" si="2"/>
        <v>0.19281245065680974</v>
      </c>
    </row>
    <row r="21" spans="1:27">
      <c r="A21" s="244">
        <f t="shared" si="0"/>
        <v>2.5000000000000013</v>
      </c>
      <c r="B21" s="241">
        <v>4</v>
      </c>
      <c r="C21" s="242">
        <v>4</v>
      </c>
      <c r="D21" s="243">
        <v>4</v>
      </c>
      <c r="E21" s="241">
        <v>4.2</v>
      </c>
      <c r="F21" s="242">
        <v>4.2</v>
      </c>
      <c r="G21" s="243">
        <v>4.2</v>
      </c>
      <c r="H21" s="241">
        <v>4.5</v>
      </c>
      <c r="I21" s="242">
        <v>4.5</v>
      </c>
      <c r="J21" s="243">
        <v>4.5999999999999996</v>
      </c>
      <c r="K21" s="241">
        <v>5.3</v>
      </c>
      <c r="L21" s="242">
        <v>5.3</v>
      </c>
      <c r="M21" s="243">
        <v>5.3</v>
      </c>
      <c r="N21" s="241">
        <v>7.7</v>
      </c>
      <c r="O21" s="242">
        <v>7.6</v>
      </c>
      <c r="P21" s="243">
        <v>7.7</v>
      </c>
      <c r="Z21" s="244">
        <f t="shared" si="1"/>
        <v>2.5000000000000013</v>
      </c>
      <c r="AA21" s="376">
        <f t="shared" si="2"/>
        <v>0.17233796699362217</v>
      </c>
    </row>
    <row r="22" spans="1:27">
      <c r="A22" s="244">
        <f t="shared" si="0"/>
        <v>2.6000000000000014</v>
      </c>
      <c r="B22" s="241">
        <v>4</v>
      </c>
      <c r="C22" s="242">
        <v>4</v>
      </c>
      <c r="D22" s="243">
        <v>4</v>
      </c>
      <c r="E22" s="241">
        <v>4.2</v>
      </c>
      <c r="F22" s="242">
        <v>4.2</v>
      </c>
      <c r="G22" s="243">
        <v>4.2</v>
      </c>
      <c r="H22" s="241">
        <v>4.5</v>
      </c>
      <c r="I22" s="242">
        <v>4.5</v>
      </c>
      <c r="J22" s="243">
        <v>4.5999999999999996</v>
      </c>
      <c r="K22" s="241">
        <v>5.3</v>
      </c>
      <c r="L22" s="242">
        <v>5.3</v>
      </c>
      <c r="M22" s="243">
        <v>5.3</v>
      </c>
      <c r="N22" s="241">
        <v>7.7</v>
      </c>
      <c r="O22" s="242">
        <v>7.6</v>
      </c>
      <c r="P22" s="243">
        <v>7.7</v>
      </c>
      <c r="Z22" s="244">
        <f t="shared" si="1"/>
        <v>2.6000000000000014</v>
      </c>
      <c r="AA22" s="376">
        <f t="shared" si="2"/>
        <v>0.15471744410545019</v>
      </c>
    </row>
    <row r="23" spans="1:27">
      <c r="A23" s="244">
        <f t="shared" si="0"/>
        <v>2.7000000000000015</v>
      </c>
      <c r="B23" s="241">
        <v>4</v>
      </c>
      <c r="C23" s="242">
        <v>4</v>
      </c>
      <c r="D23" s="243">
        <v>4</v>
      </c>
      <c r="E23" s="241">
        <v>4.2</v>
      </c>
      <c r="F23" s="242">
        <v>4.2</v>
      </c>
      <c r="G23" s="243">
        <v>4.2</v>
      </c>
      <c r="H23" s="241">
        <v>4.5999999999999996</v>
      </c>
      <c r="I23" s="242">
        <v>4.5</v>
      </c>
      <c r="J23" s="243">
        <v>4.5999999999999996</v>
      </c>
      <c r="K23" s="241">
        <v>5.3</v>
      </c>
      <c r="L23" s="242">
        <v>5.3</v>
      </c>
      <c r="M23" s="243">
        <v>5.3</v>
      </c>
      <c r="N23" s="241">
        <v>7.7</v>
      </c>
      <c r="O23" s="242">
        <v>7.7</v>
      </c>
      <c r="P23" s="243">
        <v>7.7</v>
      </c>
      <c r="Z23" s="244">
        <f t="shared" si="1"/>
        <v>2.7000000000000015</v>
      </c>
      <c r="AA23" s="376">
        <f t="shared" si="2"/>
        <v>0.13946513059612062</v>
      </c>
    </row>
    <row r="24" spans="1:27">
      <c r="A24" s="244">
        <f t="shared" si="0"/>
        <v>2.8000000000000016</v>
      </c>
      <c r="B24" s="241">
        <v>4</v>
      </c>
      <c r="C24" s="242">
        <v>4</v>
      </c>
      <c r="D24" s="243">
        <v>4</v>
      </c>
      <c r="E24" s="241">
        <v>4.2</v>
      </c>
      <c r="F24" s="242">
        <v>4.2</v>
      </c>
      <c r="G24" s="243">
        <v>4.2</v>
      </c>
      <c r="H24" s="241">
        <v>4.5999999999999996</v>
      </c>
      <c r="I24" s="242">
        <v>4.5</v>
      </c>
      <c r="J24" s="243">
        <v>4.5999999999999996</v>
      </c>
      <c r="K24" s="241">
        <v>5.3</v>
      </c>
      <c r="L24" s="242">
        <v>5.3</v>
      </c>
      <c r="M24" s="243">
        <v>5.3</v>
      </c>
      <c r="N24" s="241">
        <v>7.7</v>
      </c>
      <c r="O24" s="242">
        <v>7.7</v>
      </c>
      <c r="P24" s="243">
        <v>7.7</v>
      </c>
      <c r="Z24" s="244">
        <f t="shared" si="1"/>
        <v>2.8000000000000016</v>
      </c>
      <c r="AA24" s="376">
        <f t="shared" si="2"/>
        <v>0.12619187784699315</v>
      </c>
    </row>
    <row r="25" spans="1:27">
      <c r="A25" s="244">
        <f t="shared" si="0"/>
        <v>2.9000000000000017</v>
      </c>
      <c r="B25" s="241">
        <v>4</v>
      </c>
      <c r="C25" s="242">
        <v>4</v>
      </c>
      <c r="D25" s="243">
        <v>4</v>
      </c>
      <c r="E25" s="241">
        <v>4.2</v>
      </c>
      <c r="F25" s="242">
        <v>4.2</v>
      </c>
      <c r="G25" s="243">
        <v>4.2</v>
      </c>
      <c r="H25" s="241">
        <v>4.5999999999999996</v>
      </c>
      <c r="I25" s="242">
        <v>4.5</v>
      </c>
      <c r="J25" s="243">
        <v>4.5999999999999996</v>
      </c>
      <c r="K25" s="241">
        <v>5.3</v>
      </c>
      <c r="L25" s="242">
        <v>5.3</v>
      </c>
      <c r="M25" s="243">
        <v>5.3</v>
      </c>
      <c r="N25" s="241">
        <v>7.7</v>
      </c>
      <c r="O25" s="242">
        <v>7.7</v>
      </c>
      <c r="P25" s="243">
        <v>7.8</v>
      </c>
      <c r="Z25" s="244">
        <f t="shared" si="1"/>
        <v>2.9000000000000017</v>
      </c>
      <c r="AA25" s="376">
        <f t="shared" si="2"/>
        <v>0.11458334466198539</v>
      </c>
    </row>
    <row r="26" spans="1:27">
      <c r="A26" s="244">
        <f t="shared" si="0"/>
        <v>3.0000000000000018</v>
      </c>
      <c r="B26" s="241">
        <v>4</v>
      </c>
      <c r="C26" s="242">
        <v>4</v>
      </c>
      <c r="D26" s="243">
        <v>4</v>
      </c>
      <c r="E26" s="241">
        <v>4.2</v>
      </c>
      <c r="F26" s="242">
        <v>4.2</v>
      </c>
      <c r="G26" s="243">
        <v>4.2</v>
      </c>
      <c r="H26" s="241">
        <v>4.5999999999999996</v>
      </c>
      <c r="I26" s="242">
        <v>4.5</v>
      </c>
      <c r="J26" s="243">
        <v>4.5999999999999996</v>
      </c>
      <c r="K26" s="241">
        <v>5.3</v>
      </c>
      <c r="L26" s="242">
        <v>5.3</v>
      </c>
      <c r="M26" s="243">
        <v>5.4</v>
      </c>
      <c r="N26" s="241">
        <v>7.7</v>
      </c>
      <c r="O26" s="242">
        <v>7.7</v>
      </c>
      <c r="P26" s="243">
        <v>7.8</v>
      </c>
      <c r="Z26" s="244">
        <f t="shared" si="1"/>
        <v>3.0000000000000018</v>
      </c>
      <c r="AA26" s="376">
        <f t="shared" si="2"/>
        <v>0.10438366441372787</v>
      </c>
    </row>
    <row r="27" spans="1:27">
      <c r="A27" s="244">
        <f t="shared" si="0"/>
        <v>3.1000000000000019</v>
      </c>
      <c r="B27" s="241">
        <v>4</v>
      </c>
      <c r="C27" s="242">
        <v>4</v>
      </c>
      <c r="D27" s="243">
        <v>4</v>
      </c>
      <c r="E27" s="241">
        <v>4.2</v>
      </c>
      <c r="F27" s="242">
        <v>4.2</v>
      </c>
      <c r="G27" s="243">
        <v>4.2</v>
      </c>
      <c r="H27" s="241">
        <v>4.5999999999999996</v>
      </c>
      <c r="I27" s="242">
        <v>4.5999999999999996</v>
      </c>
      <c r="J27" s="243">
        <v>4.5999999999999996</v>
      </c>
      <c r="K27" s="241">
        <v>5.3</v>
      </c>
      <c r="L27" s="242">
        <v>5.3</v>
      </c>
      <c r="M27" s="243">
        <v>5.4</v>
      </c>
      <c r="N27" s="241">
        <v>7.7</v>
      </c>
      <c r="O27" s="242">
        <v>7.7</v>
      </c>
      <c r="P27" s="243">
        <v>7.8</v>
      </c>
      <c r="Z27" s="244">
        <f t="shared" si="1"/>
        <v>3.1000000000000019</v>
      </c>
      <c r="AA27" s="376">
        <f t="shared" si="2"/>
        <v>9.5383077622648929E-2</v>
      </c>
    </row>
    <row r="28" spans="1:27">
      <c r="A28" s="244">
        <f t="shared" si="0"/>
        <v>3.200000000000002</v>
      </c>
      <c r="B28" s="241">
        <v>4</v>
      </c>
      <c r="C28" s="242">
        <v>4</v>
      </c>
      <c r="D28" s="243">
        <v>4</v>
      </c>
      <c r="E28" s="241">
        <v>4.2</v>
      </c>
      <c r="F28" s="242">
        <v>4.2</v>
      </c>
      <c r="G28" s="243">
        <v>4.2</v>
      </c>
      <c r="H28" s="241">
        <v>4.5999999999999996</v>
      </c>
      <c r="I28" s="242">
        <v>4.5999999999999996</v>
      </c>
      <c r="J28" s="243">
        <v>4.5999999999999996</v>
      </c>
      <c r="K28" s="241">
        <v>5.3</v>
      </c>
      <c r="L28" s="242">
        <v>5.3</v>
      </c>
      <c r="M28" s="243">
        <v>5.4</v>
      </c>
      <c r="N28" s="241">
        <v>7.7</v>
      </c>
      <c r="O28" s="242">
        <v>7.7</v>
      </c>
      <c r="P28" s="243">
        <v>7.8</v>
      </c>
      <c r="Z28" s="244">
        <f t="shared" si="1"/>
        <v>3.200000000000002</v>
      </c>
      <c r="AA28" s="376">
        <f t="shared" si="2"/>
        <v>8.7408476138116989E-2</v>
      </c>
    </row>
    <row r="29" spans="1:27">
      <c r="A29" s="244">
        <f t="shared" si="0"/>
        <v>3.300000000000002</v>
      </c>
      <c r="B29" s="241">
        <v>4</v>
      </c>
      <c r="C29" s="242">
        <v>4</v>
      </c>
      <c r="D29" s="243">
        <v>4</v>
      </c>
      <c r="E29" s="241">
        <v>4.2</v>
      </c>
      <c r="F29" s="242">
        <v>4.2</v>
      </c>
      <c r="G29" s="243">
        <v>4.3</v>
      </c>
      <c r="H29" s="241">
        <v>4.5999999999999996</v>
      </c>
      <c r="I29" s="242">
        <v>4.5999999999999996</v>
      </c>
      <c r="J29" s="243">
        <v>4.5999999999999996</v>
      </c>
      <c r="K29" s="241">
        <v>5.3</v>
      </c>
      <c r="L29" s="242">
        <v>5.3</v>
      </c>
      <c r="M29" s="243">
        <v>5.4</v>
      </c>
      <c r="N29" s="241">
        <v>7.7</v>
      </c>
      <c r="O29" s="242">
        <v>7.7</v>
      </c>
      <c r="P29" s="243">
        <v>7.8</v>
      </c>
      <c r="Z29" s="244">
        <f t="shared" si="1"/>
        <v>3.300000000000002</v>
      </c>
      <c r="AA29" s="376">
        <f t="shared" si="2"/>
        <v>8.0316107921033511E-2</v>
      </c>
    </row>
    <row r="30" spans="1:27">
      <c r="A30" s="244">
        <f t="shared" si="0"/>
        <v>3.4000000000000021</v>
      </c>
      <c r="B30" s="241">
        <v>4</v>
      </c>
      <c r="C30" s="242">
        <v>4</v>
      </c>
      <c r="D30" s="243">
        <v>4.0999999999999996</v>
      </c>
      <c r="E30" s="241">
        <v>4.2</v>
      </c>
      <c r="F30" s="242">
        <v>4.2</v>
      </c>
      <c r="G30" s="243">
        <v>4.3</v>
      </c>
      <c r="H30" s="241">
        <v>4.5999999999999996</v>
      </c>
      <c r="I30" s="242">
        <v>4.5999999999999996</v>
      </c>
      <c r="J30" s="243">
        <v>4.5999999999999996</v>
      </c>
      <c r="K30" s="241">
        <v>5.3</v>
      </c>
      <c r="L30" s="242">
        <v>5.3</v>
      </c>
      <c r="M30" s="243">
        <v>5.4</v>
      </c>
      <c r="N30" s="241">
        <v>7.8</v>
      </c>
      <c r="O30" s="242">
        <v>7.7</v>
      </c>
      <c r="P30" s="243">
        <v>7.8</v>
      </c>
      <c r="Z30" s="244">
        <f t="shared" si="1"/>
        <v>3.4000000000000021</v>
      </c>
      <c r="AA30" s="376">
        <f t="shared" si="2"/>
        <v>7.3985901068414711E-2</v>
      </c>
    </row>
    <row r="31" spans="1:27">
      <c r="A31" s="244">
        <f t="shared" si="0"/>
        <v>3.5000000000000022</v>
      </c>
      <c r="B31" s="241">
        <v>4</v>
      </c>
      <c r="C31" s="242">
        <v>4</v>
      </c>
      <c r="D31" s="243">
        <v>4.0999999999999996</v>
      </c>
      <c r="E31" s="241">
        <v>4.2</v>
      </c>
      <c r="F31" s="242">
        <v>4.2</v>
      </c>
      <c r="G31" s="243">
        <v>4.3</v>
      </c>
      <c r="H31" s="241">
        <v>4.5999999999999996</v>
      </c>
      <c r="I31" s="242">
        <v>4.5999999999999996</v>
      </c>
      <c r="J31" s="243">
        <v>4.5999999999999996</v>
      </c>
      <c r="K31" s="241">
        <v>5.3</v>
      </c>
      <c r="L31" s="242">
        <v>5.3</v>
      </c>
      <c r="M31" s="243">
        <v>5.4</v>
      </c>
      <c r="N31" s="241">
        <v>7.8</v>
      </c>
      <c r="O31" s="242">
        <v>7.7</v>
      </c>
      <c r="P31" s="243">
        <v>7.9</v>
      </c>
      <c r="Z31" s="244">
        <f t="shared" si="1"/>
        <v>3.5000000000000022</v>
      </c>
      <c r="AA31" s="376">
        <f t="shared" si="2"/>
        <v>6.8317012641286382E-2</v>
      </c>
    </row>
    <row r="32" spans="1:27">
      <c r="A32" s="244">
        <f t="shared" si="0"/>
        <v>3.6000000000000023</v>
      </c>
      <c r="B32" s="241">
        <v>4</v>
      </c>
      <c r="C32" s="242">
        <v>4</v>
      </c>
      <c r="D32" s="243">
        <v>4.0999999999999996</v>
      </c>
      <c r="E32" s="241">
        <v>4.2</v>
      </c>
      <c r="F32" s="242">
        <v>4.2</v>
      </c>
      <c r="G32" s="243">
        <v>4.3</v>
      </c>
      <c r="H32" s="241">
        <v>4.5999999999999996</v>
      </c>
      <c r="I32" s="242">
        <v>4.5999999999999996</v>
      </c>
      <c r="J32" s="243">
        <v>4.5999999999999996</v>
      </c>
      <c r="K32" s="241">
        <v>5.4</v>
      </c>
      <c r="L32" s="242">
        <v>5.3</v>
      </c>
      <c r="M32" s="243">
        <v>5.4</v>
      </c>
      <c r="N32" s="241">
        <v>7.8</v>
      </c>
      <c r="O32" s="242">
        <v>7.8</v>
      </c>
      <c r="P32" s="243">
        <v>7.9</v>
      </c>
      <c r="Z32" s="244">
        <f t="shared" si="1"/>
        <v>3.6000000000000023</v>
      </c>
      <c r="AA32" s="376">
        <f t="shared" si="2"/>
        <v>6.3224312010370876E-2</v>
      </c>
    </row>
    <row r="33" spans="1:27">
      <c r="A33" s="244">
        <f t="shared" si="0"/>
        <v>3.7000000000000024</v>
      </c>
      <c r="B33" s="241">
        <v>4</v>
      </c>
      <c r="C33" s="242">
        <v>4</v>
      </c>
      <c r="D33" s="243">
        <v>4.0999999999999996</v>
      </c>
      <c r="E33" s="241">
        <v>4.2</v>
      </c>
      <c r="F33" s="242">
        <v>4.2</v>
      </c>
      <c r="G33" s="243">
        <v>4.3</v>
      </c>
      <c r="H33" s="241">
        <v>4.5999999999999996</v>
      </c>
      <c r="I33" s="242">
        <v>4.5999999999999996</v>
      </c>
      <c r="J33" s="243">
        <v>4.5999999999999996</v>
      </c>
      <c r="K33" s="241">
        <v>5.4</v>
      </c>
      <c r="L33" s="242">
        <v>5.3</v>
      </c>
      <c r="M33" s="243">
        <v>5.4</v>
      </c>
      <c r="N33" s="241">
        <v>7.8</v>
      </c>
      <c r="O33" s="242">
        <v>7.8</v>
      </c>
      <c r="P33" s="243">
        <v>7.9</v>
      </c>
      <c r="Z33" s="244">
        <f t="shared" si="1"/>
        <v>3.7000000000000024</v>
      </c>
      <c r="AA33" s="376">
        <f t="shared" si="2"/>
        <v>5.8635583066938529E-2</v>
      </c>
    </row>
    <row r="34" spans="1:27">
      <c r="A34" s="244">
        <f t="shared" si="0"/>
        <v>3.8000000000000025</v>
      </c>
      <c r="B34" s="241">
        <v>4</v>
      </c>
      <c r="C34" s="242">
        <v>4</v>
      </c>
      <c r="D34" s="243">
        <v>4.0999999999999996</v>
      </c>
      <c r="E34" s="241">
        <v>4.2</v>
      </c>
      <c r="F34" s="242">
        <v>4.2</v>
      </c>
      <c r="G34" s="243">
        <v>4.3</v>
      </c>
      <c r="H34" s="241">
        <v>4.5999999999999996</v>
      </c>
      <c r="I34" s="242">
        <v>4.5999999999999996</v>
      </c>
      <c r="J34" s="243">
        <v>4.5999999999999996</v>
      </c>
      <c r="K34" s="241">
        <v>5.4</v>
      </c>
      <c r="L34" s="242">
        <v>5.4</v>
      </c>
      <c r="M34" s="243">
        <v>5.4</v>
      </c>
      <c r="N34" s="241">
        <v>7.8</v>
      </c>
      <c r="O34" s="242">
        <v>7.8</v>
      </c>
      <c r="P34" s="243">
        <v>7.9</v>
      </c>
      <c r="Z34" s="244">
        <f t="shared" si="1"/>
        <v>3.8000000000000025</v>
      </c>
      <c r="AA34" s="376">
        <f t="shared" si="2"/>
        <v>5.4489283668332555E-2</v>
      </c>
    </row>
    <row r="35" spans="1:27">
      <c r="A35" s="244">
        <f t="shared" si="0"/>
        <v>3.9000000000000026</v>
      </c>
      <c r="B35" s="241">
        <v>4</v>
      </c>
      <c r="C35" s="242">
        <v>4</v>
      </c>
      <c r="D35" s="243">
        <v>4.0999999999999996</v>
      </c>
      <c r="E35" s="241">
        <v>4.2</v>
      </c>
      <c r="F35" s="242">
        <v>4.2</v>
      </c>
      <c r="G35" s="243">
        <v>4.3</v>
      </c>
      <c r="H35" s="241">
        <v>4.5999999999999996</v>
      </c>
      <c r="I35" s="242">
        <v>4.5999999999999996</v>
      </c>
      <c r="J35" s="243">
        <v>4.5999999999999996</v>
      </c>
      <c r="K35" s="241">
        <v>5.4</v>
      </c>
      <c r="L35" s="242">
        <v>5.4</v>
      </c>
      <c r="M35" s="243">
        <v>5.4</v>
      </c>
      <c r="N35" s="241">
        <v>7.8</v>
      </c>
      <c r="O35" s="242">
        <v>7.8</v>
      </c>
      <c r="P35" s="243">
        <v>7.9</v>
      </c>
      <c r="Z35" s="244">
        <f t="shared" si="1"/>
        <v>3.9000000000000026</v>
      </c>
      <c r="AA35" s="376">
        <f t="shared" si="2"/>
        <v>5.0732740164073115E-2</v>
      </c>
    </row>
    <row r="36" spans="1:27">
      <c r="A36" s="244">
        <f t="shared" si="0"/>
        <v>4.0000000000000027</v>
      </c>
      <c r="B36" s="241">
        <v>4</v>
      </c>
      <c r="C36" s="242">
        <v>4</v>
      </c>
      <c r="D36" s="243">
        <v>4.0999999999999996</v>
      </c>
      <c r="E36" s="241">
        <v>4.2</v>
      </c>
      <c r="F36" s="242">
        <v>4.2</v>
      </c>
      <c r="G36" s="243">
        <v>4.3</v>
      </c>
      <c r="H36" s="241">
        <v>4.5999999999999996</v>
      </c>
      <c r="I36" s="242">
        <v>4.5999999999999996</v>
      </c>
      <c r="J36" s="243">
        <v>4.5999999999999996</v>
      </c>
      <c r="K36" s="241">
        <v>5.4</v>
      </c>
      <c r="L36" s="242">
        <v>5.4</v>
      </c>
      <c r="M36" s="243">
        <v>5.4</v>
      </c>
      <c r="N36" s="241">
        <v>7.8</v>
      </c>
      <c r="O36" s="242">
        <v>7.8</v>
      </c>
      <c r="P36" s="243">
        <v>7.9</v>
      </c>
      <c r="Z36" s="244">
        <f t="shared" si="1"/>
        <v>4.0000000000000027</v>
      </c>
      <c r="AA36" s="376">
        <f t="shared" si="2"/>
        <v>4.732068395498247E-2</v>
      </c>
    </row>
    <row r="37" spans="1:27">
      <c r="A37" s="244">
        <f t="shared" si="0"/>
        <v>4.1000000000000023</v>
      </c>
      <c r="B37" s="241">
        <v>4</v>
      </c>
      <c r="C37" s="242">
        <v>4</v>
      </c>
      <c r="D37" s="243">
        <v>4.0999999999999996</v>
      </c>
      <c r="E37" s="241">
        <v>4.2</v>
      </c>
      <c r="F37" s="242">
        <v>4.2</v>
      </c>
      <c r="G37" s="243">
        <v>4.3</v>
      </c>
      <c r="H37" s="241">
        <v>4.5999999999999996</v>
      </c>
      <c r="I37" s="242">
        <v>4.5999999999999996</v>
      </c>
      <c r="J37" s="243">
        <v>4.7</v>
      </c>
      <c r="K37" s="241">
        <v>5.4</v>
      </c>
      <c r="L37" s="242">
        <v>5.4</v>
      </c>
      <c r="M37" s="243">
        <v>5.5</v>
      </c>
      <c r="N37" s="241">
        <v>7.8</v>
      </c>
      <c r="O37" s="242">
        <v>7.8</v>
      </c>
      <c r="P37" s="243">
        <v>8</v>
      </c>
      <c r="Z37" s="244">
        <f t="shared" si="1"/>
        <v>4.1000000000000023</v>
      </c>
      <c r="AA37" s="376">
        <f t="shared" si="2"/>
        <v>4.4214058680591917E-2</v>
      </c>
    </row>
    <row r="38" spans="1:27">
      <c r="A38" s="244">
        <f t="shared" si="0"/>
        <v>4.200000000000002</v>
      </c>
      <c r="B38" s="241">
        <v>4</v>
      </c>
      <c r="C38" s="242">
        <v>4</v>
      </c>
      <c r="D38" s="243">
        <v>4.0999999999999996</v>
      </c>
      <c r="E38" s="241">
        <v>4.2</v>
      </c>
      <c r="F38" s="242">
        <v>4.3</v>
      </c>
      <c r="G38" s="243">
        <v>4.3</v>
      </c>
      <c r="H38" s="241">
        <v>4.5999999999999996</v>
      </c>
      <c r="I38" s="242">
        <v>4.5999999999999996</v>
      </c>
      <c r="J38" s="243">
        <v>4.7</v>
      </c>
      <c r="K38" s="241">
        <v>5.4</v>
      </c>
      <c r="L38" s="242">
        <v>5.4</v>
      </c>
      <c r="M38" s="243">
        <v>5.5</v>
      </c>
      <c r="N38" s="241">
        <v>7.8</v>
      </c>
      <c r="O38" s="242">
        <v>7.8</v>
      </c>
      <c r="P38" s="243">
        <v>8</v>
      </c>
      <c r="Z38" s="244">
        <f t="shared" si="1"/>
        <v>4.200000000000002</v>
      </c>
      <c r="AA38" s="376">
        <f t="shared" si="2"/>
        <v>4.1379042852236703E-2</v>
      </c>
    </row>
    <row r="39" spans="1:27">
      <c r="A39" s="244">
        <f t="shared" si="0"/>
        <v>4.3000000000000016</v>
      </c>
      <c r="B39" s="241">
        <v>4</v>
      </c>
      <c r="C39" s="242">
        <v>4</v>
      </c>
      <c r="D39" s="243">
        <v>4.0999999999999996</v>
      </c>
      <c r="E39" s="241">
        <v>4.3</v>
      </c>
      <c r="F39" s="242">
        <v>4.3</v>
      </c>
      <c r="G39" s="243">
        <v>4.3</v>
      </c>
      <c r="H39" s="241">
        <v>4.5999999999999996</v>
      </c>
      <c r="I39" s="242">
        <v>4.5999999999999996</v>
      </c>
      <c r="J39" s="243">
        <v>4.7</v>
      </c>
      <c r="K39" s="241">
        <v>5.4</v>
      </c>
      <c r="L39" s="242">
        <v>5.4</v>
      </c>
      <c r="M39" s="243">
        <v>5.5</v>
      </c>
      <c r="N39" s="241">
        <v>7.8</v>
      </c>
      <c r="O39" s="242">
        <v>7.8</v>
      </c>
      <c r="P39" s="243">
        <v>8</v>
      </c>
      <c r="Z39" s="244">
        <f t="shared" si="1"/>
        <v>4.3000000000000016</v>
      </c>
      <c r="AA39" s="376">
        <f t="shared" si="2"/>
        <v>3.8786245000779443E-2</v>
      </c>
    </row>
    <row r="40" spans="1:27">
      <c r="A40" s="244">
        <f t="shared" si="0"/>
        <v>4.4000000000000012</v>
      </c>
      <c r="B40" s="241">
        <v>4</v>
      </c>
      <c r="C40" s="242">
        <v>4.0999999999999996</v>
      </c>
      <c r="D40" s="243">
        <v>4.0999999999999996</v>
      </c>
      <c r="E40" s="241">
        <v>4.3</v>
      </c>
      <c r="F40" s="242">
        <v>4.3</v>
      </c>
      <c r="G40" s="243">
        <v>4.3</v>
      </c>
      <c r="H40" s="241">
        <v>4.5999999999999996</v>
      </c>
      <c r="I40" s="242">
        <v>4.5999999999999996</v>
      </c>
      <c r="J40" s="243">
        <v>4.7</v>
      </c>
      <c r="K40" s="241">
        <v>5.4</v>
      </c>
      <c r="L40" s="242">
        <v>5.4</v>
      </c>
      <c r="M40" s="243">
        <v>5.5</v>
      </c>
      <c r="N40" s="241">
        <v>7.8</v>
      </c>
      <c r="O40" s="242">
        <v>7.8</v>
      </c>
      <c r="P40" s="243">
        <v>8</v>
      </c>
      <c r="Z40" s="244">
        <f t="shared" si="1"/>
        <v>4.4000000000000012</v>
      </c>
      <c r="AA40" s="376">
        <f t="shared" si="2"/>
        <v>3.6410037727375104E-2</v>
      </c>
    </row>
    <row r="41" spans="1:27">
      <c r="A41" s="244">
        <f t="shared" si="0"/>
        <v>4.5000000000000009</v>
      </c>
      <c r="B41" s="241">
        <v>4</v>
      </c>
      <c r="C41" s="242">
        <v>4.0999999999999996</v>
      </c>
      <c r="D41" s="243">
        <v>4.0999999999999996</v>
      </c>
      <c r="E41" s="241">
        <v>4.3</v>
      </c>
      <c r="F41" s="242">
        <v>4.3</v>
      </c>
      <c r="G41" s="243">
        <v>4.3</v>
      </c>
      <c r="H41" s="241">
        <v>4.5999999999999996</v>
      </c>
      <c r="I41" s="242">
        <v>4.5999999999999996</v>
      </c>
      <c r="J41" s="243">
        <v>4.7</v>
      </c>
      <c r="K41" s="241">
        <v>5.4</v>
      </c>
      <c r="L41" s="242">
        <v>5.4</v>
      </c>
      <c r="M41" s="243">
        <v>5.5</v>
      </c>
      <c r="N41" s="241">
        <v>7.8</v>
      </c>
      <c r="O41" s="242">
        <v>7.9</v>
      </c>
      <c r="P41" s="243">
        <v>8</v>
      </c>
      <c r="Z41" s="244">
        <f t="shared" si="1"/>
        <v>4.5000000000000009</v>
      </c>
      <c r="AA41" s="376">
        <f t="shared" si="2"/>
        <v>3.4228004183329976E-2</v>
      </c>
    </row>
    <row r="42" spans="1:27">
      <c r="A42" s="244">
        <f t="shared" si="0"/>
        <v>4.6000000000000005</v>
      </c>
      <c r="B42" s="241">
        <v>4.0999999999999996</v>
      </c>
      <c r="C42" s="242">
        <v>4.0999999999999996</v>
      </c>
      <c r="D42" s="243">
        <v>4.0999999999999996</v>
      </c>
      <c r="E42" s="241">
        <v>4.3</v>
      </c>
      <c r="F42" s="242">
        <v>4.3</v>
      </c>
      <c r="G42" s="243">
        <v>4.3</v>
      </c>
      <c r="H42" s="241">
        <v>4.5999999999999996</v>
      </c>
      <c r="I42" s="242">
        <v>4.5999999999999996</v>
      </c>
      <c r="J42" s="243">
        <v>4.7</v>
      </c>
      <c r="K42" s="241">
        <v>5.4</v>
      </c>
      <c r="L42" s="242">
        <v>5.4</v>
      </c>
      <c r="M42" s="243">
        <v>5.5</v>
      </c>
      <c r="N42" s="241">
        <v>7.8</v>
      </c>
      <c r="O42" s="242">
        <v>7.9</v>
      </c>
      <c r="P42" s="243">
        <v>8.1</v>
      </c>
      <c r="Z42" s="244">
        <f t="shared" si="1"/>
        <v>4.6000000000000005</v>
      </c>
      <c r="AA42" s="376">
        <f t="shared" si="2"/>
        <v>3.2220476007292893E-2</v>
      </c>
    </row>
    <row r="43" spans="1:27">
      <c r="A43" s="244">
        <f t="shared" si="0"/>
        <v>4.7</v>
      </c>
      <c r="B43" s="241">
        <v>4.0999999999999996</v>
      </c>
      <c r="C43" s="242">
        <v>4.0999999999999996</v>
      </c>
      <c r="D43" s="243">
        <v>4.0999999999999996</v>
      </c>
      <c r="E43" s="241">
        <v>4.3</v>
      </c>
      <c r="F43" s="242">
        <v>4.3</v>
      </c>
      <c r="G43" s="243">
        <v>4.3</v>
      </c>
      <c r="H43" s="241">
        <v>4.5999999999999996</v>
      </c>
      <c r="I43" s="242">
        <v>4.5999999999999996</v>
      </c>
      <c r="J43" s="243">
        <v>4.7</v>
      </c>
      <c r="K43" s="241">
        <v>5.4</v>
      </c>
      <c r="L43" s="242">
        <v>5.4</v>
      </c>
      <c r="M43" s="243">
        <v>5.5</v>
      </c>
      <c r="N43" s="241">
        <v>7.8</v>
      </c>
      <c r="O43" s="242">
        <v>7.9</v>
      </c>
      <c r="P43" s="243">
        <v>8.1</v>
      </c>
      <c r="Z43" s="244">
        <f t="shared" si="1"/>
        <v>4.7</v>
      </c>
      <c r="AA43" s="376">
        <f t="shared" si="2"/>
        <v>3.0370146015769546E-2</v>
      </c>
    </row>
    <row r="44" spans="1:27">
      <c r="A44" s="244">
        <f t="shared" si="0"/>
        <v>4.8</v>
      </c>
      <c r="B44" s="241">
        <v>4.0999999999999996</v>
      </c>
      <c r="C44" s="242">
        <v>4.0999999999999996</v>
      </c>
      <c r="D44" s="243">
        <v>4.0999999999999996</v>
      </c>
      <c r="E44" s="241">
        <v>4.3</v>
      </c>
      <c r="F44" s="242">
        <v>4.3</v>
      </c>
      <c r="G44" s="243">
        <v>4.3</v>
      </c>
      <c r="H44" s="241">
        <v>4.5999999999999996</v>
      </c>
      <c r="I44" s="242">
        <v>4.5999999999999996</v>
      </c>
      <c r="J44" s="243">
        <v>4.7</v>
      </c>
      <c r="K44" s="241">
        <v>5.4</v>
      </c>
      <c r="L44" s="242">
        <v>5.4</v>
      </c>
      <c r="M44" s="243">
        <v>5.5</v>
      </c>
      <c r="N44" s="241">
        <v>7.9</v>
      </c>
      <c r="O44" s="242">
        <v>7.9</v>
      </c>
      <c r="P44" s="243">
        <v>8.1</v>
      </c>
      <c r="Z44" s="244">
        <f t="shared" si="1"/>
        <v>4.8</v>
      </c>
      <c r="AA44" s="376">
        <f t="shared" si="2"/>
        <v>2.8661742272773693E-2</v>
      </c>
    </row>
    <row r="45" spans="1:27">
      <c r="A45" s="244">
        <f t="shared" si="0"/>
        <v>4.8999999999999995</v>
      </c>
      <c r="B45" s="241">
        <v>4.0999999999999996</v>
      </c>
      <c r="C45" s="242">
        <v>4.0999999999999996</v>
      </c>
      <c r="D45" s="243">
        <v>4.0999999999999996</v>
      </c>
      <c r="E45" s="241">
        <v>4.3</v>
      </c>
      <c r="F45" s="242">
        <v>4.3</v>
      </c>
      <c r="G45" s="243">
        <v>4.3</v>
      </c>
      <c r="H45" s="241">
        <v>4.5999999999999996</v>
      </c>
      <c r="I45" s="242">
        <v>4.5999999999999996</v>
      </c>
      <c r="J45" s="243">
        <v>4.7</v>
      </c>
      <c r="K45" s="241">
        <v>5.4</v>
      </c>
      <c r="L45" s="242">
        <v>5.4</v>
      </c>
      <c r="M45" s="243">
        <v>5.5</v>
      </c>
      <c r="N45" s="241">
        <v>7.9</v>
      </c>
      <c r="O45" s="242">
        <v>7.9</v>
      </c>
      <c r="P45" s="243">
        <v>8.1</v>
      </c>
      <c r="Z45" s="244">
        <f t="shared" si="1"/>
        <v>4.8999999999999995</v>
      </c>
      <c r="AA45" s="376">
        <f t="shared" si="2"/>
        <v>2.70817527771023E-2</v>
      </c>
    </row>
    <row r="46" spans="1:27">
      <c r="A46" s="244">
        <f t="shared" si="0"/>
        <v>4.9999999999999991</v>
      </c>
      <c r="B46" s="241">
        <v>4.0999999999999996</v>
      </c>
      <c r="C46" s="242">
        <v>4.0999999999999996</v>
      </c>
      <c r="D46" s="243">
        <v>4.0999999999999996</v>
      </c>
      <c r="E46" s="241">
        <v>4.3</v>
      </c>
      <c r="F46" s="242">
        <v>4.3</v>
      </c>
      <c r="G46" s="243">
        <v>4.3</v>
      </c>
      <c r="H46" s="241">
        <v>4.5999999999999996</v>
      </c>
      <c r="I46" s="242">
        <v>4.5999999999999996</v>
      </c>
      <c r="J46" s="243">
        <v>4.7</v>
      </c>
      <c r="K46" s="241">
        <v>5.4</v>
      </c>
      <c r="L46" s="242">
        <v>5.4</v>
      </c>
      <c r="M46" s="243">
        <v>5.5</v>
      </c>
      <c r="N46" s="241">
        <v>7.9</v>
      </c>
      <c r="O46" s="242">
        <v>7.9</v>
      </c>
      <c r="P46" s="243">
        <v>8.1</v>
      </c>
      <c r="Z46" s="244">
        <f t="shared" si="1"/>
        <v>4.9999999999999991</v>
      </c>
      <c r="AA46" s="376">
        <f t="shared" si="2"/>
        <v>2.5618192066739997E-2</v>
      </c>
    </row>
    <row r="47" spans="1:27">
      <c r="A47" s="244">
        <f t="shared" si="0"/>
        <v>5.0999999999999988</v>
      </c>
      <c r="B47" s="241">
        <v>4.0999999999999996</v>
      </c>
      <c r="C47" s="242">
        <v>4.0999999999999996</v>
      </c>
      <c r="D47" s="243">
        <v>4.0999999999999996</v>
      </c>
      <c r="E47" s="241">
        <v>4.3</v>
      </c>
      <c r="F47" s="242">
        <v>4.3</v>
      </c>
      <c r="G47" s="243">
        <v>4.4000000000000004</v>
      </c>
      <c r="H47" s="241">
        <v>4.5999999999999996</v>
      </c>
      <c r="I47" s="242">
        <v>4.5999999999999996</v>
      </c>
      <c r="J47" s="243">
        <v>4.7</v>
      </c>
      <c r="K47" s="241">
        <v>5.4</v>
      </c>
      <c r="L47" s="242">
        <v>5.4</v>
      </c>
      <c r="M47" s="243">
        <v>5.6</v>
      </c>
      <c r="N47" s="241">
        <v>7.9</v>
      </c>
      <c r="O47" s="242">
        <v>7.9</v>
      </c>
      <c r="P47" s="243">
        <v>8.1999999999999993</v>
      </c>
      <c r="Z47" s="244">
        <f t="shared" si="1"/>
        <v>5.0999999999999988</v>
      </c>
      <c r="AA47" s="376">
        <f t="shared" si="2"/>
        <v>2.4260402674118952E-2</v>
      </c>
    </row>
    <row r="48" spans="1:27">
      <c r="A48" s="244">
        <f t="shared" si="0"/>
        <v>5.1999999999999984</v>
      </c>
      <c r="B48" s="241">
        <v>4.0999999999999996</v>
      </c>
      <c r="C48" s="242">
        <v>4.0999999999999996</v>
      </c>
      <c r="D48" s="243">
        <v>4.0999999999999996</v>
      </c>
      <c r="E48" s="241">
        <v>4.3</v>
      </c>
      <c r="F48" s="242">
        <v>4.3</v>
      </c>
      <c r="G48" s="243">
        <v>4.4000000000000004</v>
      </c>
      <c r="H48" s="241">
        <v>4.5999999999999996</v>
      </c>
      <c r="I48" s="242">
        <v>4.5999999999999996</v>
      </c>
      <c r="J48" s="243">
        <v>4.7</v>
      </c>
      <c r="K48" s="241">
        <v>5.4</v>
      </c>
      <c r="L48" s="242">
        <v>5.4</v>
      </c>
      <c r="M48" s="243">
        <v>5.6</v>
      </c>
      <c r="N48" s="241">
        <v>7.9</v>
      </c>
      <c r="O48" s="242">
        <v>7.9</v>
      </c>
      <c r="P48" s="243">
        <v>8.1999999999999993</v>
      </c>
      <c r="Z48" s="244">
        <f t="shared" si="1"/>
        <v>5.1999999999999984</v>
      </c>
      <c r="AA48" s="376">
        <f t="shared" si="2"/>
        <v>2.2998885668154702E-2</v>
      </c>
    </row>
    <row r="49" spans="1:27">
      <c r="A49" s="244">
        <f t="shared" si="0"/>
        <v>5.299999999999998</v>
      </c>
      <c r="B49" s="241">
        <v>4.0999999999999996</v>
      </c>
      <c r="C49" s="242">
        <v>4.0999999999999996</v>
      </c>
      <c r="D49" s="243">
        <v>4.0999999999999996</v>
      </c>
      <c r="E49" s="241">
        <v>4.3</v>
      </c>
      <c r="F49" s="242">
        <v>4.3</v>
      </c>
      <c r="G49" s="243">
        <v>4.4000000000000004</v>
      </c>
      <c r="H49" s="241">
        <v>4.5999999999999996</v>
      </c>
      <c r="I49" s="242">
        <v>4.7</v>
      </c>
      <c r="J49" s="243">
        <v>4.7</v>
      </c>
      <c r="K49" s="241">
        <v>5.4</v>
      </c>
      <c r="L49" s="242">
        <v>5.5</v>
      </c>
      <c r="M49" s="243">
        <v>5.6</v>
      </c>
      <c r="N49" s="241">
        <v>7.9</v>
      </c>
      <c r="O49" s="242">
        <v>8</v>
      </c>
      <c r="P49" s="243">
        <v>8.1999999999999993</v>
      </c>
      <c r="Z49" s="244">
        <f t="shared" si="1"/>
        <v>5.299999999999998</v>
      </c>
      <c r="AA49" s="376">
        <f t="shared" si="2"/>
        <v>2.1825155561509265E-2</v>
      </c>
    </row>
    <row r="50" spans="1:27">
      <c r="A50" s="244">
        <f t="shared" si="0"/>
        <v>5.3999999999999977</v>
      </c>
      <c r="B50" s="241">
        <v>4.0999999999999996</v>
      </c>
      <c r="C50" s="242">
        <v>4.0999999999999996</v>
      </c>
      <c r="D50" s="243">
        <v>4.0999999999999996</v>
      </c>
      <c r="E50" s="241">
        <v>4.3</v>
      </c>
      <c r="F50" s="242">
        <v>4.3</v>
      </c>
      <c r="G50" s="243">
        <v>4.4000000000000004</v>
      </c>
      <c r="H50" s="241">
        <v>4.5999999999999996</v>
      </c>
      <c r="I50" s="242">
        <v>4.7</v>
      </c>
      <c r="J50" s="243">
        <v>4.7</v>
      </c>
      <c r="K50" s="241">
        <v>5.4</v>
      </c>
      <c r="L50" s="242">
        <v>5.5</v>
      </c>
      <c r="M50" s="243">
        <v>5.6</v>
      </c>
      <c r="N50" s="241">
        <v>7.9</v>
      </c>
      <c r="O50" s="242">
        <v>8</v>
      </c>
      <c r="P50" s="243">
        <v>8.1999999999999993</v>
      </c>
      <c r="Z50" s="244">
        <f t="shared" si="1"/>
        <v>5.3999999999999977</v>
      </c>
      <c r="AA50" s="376">
        <f t="shared" si="2"/>
        <v>2.0731615699961344E-2</v>
      </c>
    </row>
    <row r="51" spans="1:27">
      <c r="A51" s="244">
        <f t="shared" si="0"/>
        <v>5.4999999999999973</v>
      </c>
      <c r="B51" s="241">
        <v>4.0999999999999996</v>
      </c>
      <c r="C51" s="242">
        <v>4.0999999999999996</v>
      </c>
      <c r="D51" s="243">
        <v>4.2</v>
      </c>
      <c r="E51" s="241">
        <v>4.3</v>
      </c>
      <c r="F51" s="242">
        <v>4.3</v>
      </c>
      <c r="G51" s="243">
        <v>4.4000000000000004</v>
      </c>
      <c r="H51" s="241">
        <v>4.5999999999999996</v>
      </c>
      <c r="I51" s="242">
        <v>4.7</v>
      </c>
      <c r="J51" s="243">
        <v>4.8</v>
      </c>
      <c r="K51" s="241">
        <v>5.4</v>
      </c>
      <c r="L51" s="242">
        <v>5.5</v>
      </c>
      <c r="M51" s="243">
        <v>5.6</v>
      </c>
      <c r="N51" s="241">
        <v>7.9</v>
      </c>
      <c r="O51" s="242">
        <v>8</v>
      </c>
      <c r="P51" s="243">
        <v>8.1999999999999993</v>
      </c>
      <c r="Z51" s="244">
        <f t="shared" si="1"/>
        <v>5.4999999999999973</v>
      </c>
      <c r="AA51" s="376">
        <f t="shared" si="2"/>
        <v>1.9711450927981208E-2</v>
      </c>
    </row>
    <row r="52" spans="1:27">
      <c r="A52" s="244">
        <f t="shared" si="0"/>
        <v>5.599999999999997</v>
      </c>
      <c r="B52" s="241">
        <v>4.0999999999999996</v>
      </c>
      <c r="C52" s="242">
        <v>4.0999999999999996</v>
      </c>
      <c r="D52" s="243">
        <v>4.2</v>
      </c>
      <c r="E52" s="241">
        <v>4.3</v>
      </c>
      <c r="F52" s="242">
        <v>4.3</v>
      </c>
      <c r="G52" s="243">
        <v>4.4000000000000004</v>
      </c>
      <c r="H52" s="241">
        <v>4.5999999999999996</v>
      </c>
      <c r="I52" s="242">
        <v>4.7</v>
      </c>
      <c r="J52" s="243">
        <v>4.8</v>
      </c>
      <c r="K52" s="241">
        <v>5.4</v>
      </c>
      <c r="L52" s="242">
        <v>5.5</v>
      </c>
      <c r="M52" s="243">
        <v>5.6</v>
      </c>
      <c r="N52" s="241">
        <v>7.9</v>
      </c>
      <c r="O52" s="242">
        <v>8</v>
      </c>
      <c r="P52" s="243">
        <v>8.3000000000000007</v>
      </c>
      <c r="Z52" s="244">
        <f t="shared" si="1"/>
        <v>5.599999999999997</v>
      </c>
      <c r="AA52" s="376">
        <f t="shared" si="2"/>
        <v>1.8758534873899873E-2</v>
      </c>
    </row>
    <row r="53" spans="1:27">
      <c r="A53" s="244">
        <f t="shared" si="0"/>
        <v>5.6999999999999966</v>
      </c>
      <c r="B53" s="241">
        <v>4.0999999999999996</v>
      </c>
      <c r="C53" s="242">
        <v>4.0999999999999996</v>
      </c>
      <c r="D53" s="243">
        <v>4.2</v>
      </c>
      <c r="E53" s="241">
        <v>4.3</v>
      </c>
      <c r="F53" s="242">
        <v>4.3</v>
      </c>
      <c r="G53" s="243">
        <v>4.4000000000000004</v>
      </c>
      <c r="H53" s="241">
        <v>4.5999999999999996</v>
      </c>
      <c r="I53" s="242">
        <v>4.7</v>
      </c>
      <c r="J53" s="243">
        <v>4.8</v>
      </c>
      <c r="K53" s="241">
        <v>5.4</v>
      </c>
      <c r="L53" s="242">
        <v>5.5</v>
      </c>
      <c r="M53" s="243">
        <v>5.6</v>
      </c>
      <c r="N53" s="241">
        <v>7.9</v>
      </c>
      <c r="O53" s="242">
        <v>8</v>
      </c>
      <c r="P53" s="243">
        <v>8.3000000000000007</v>
      </c>
      <c r="Z53" s="244">
        <f t="shared" si="1"/>
        <v>5.6999999999999966</v>
      </c>
      <c r="AA53" s="376">
        <f t="shared" si="2"/>
        <v>1.7867349645382474E-2</v>
      </c>
    </row>
    <row r="54" spans="1:27">
      <c r="A54" s="244">
        <f t="shared" si="0"/>
        <v>5.7999999999999963</v>
      </c>
      <c r="B54" s="241">
        <v>4.0999999999999996</v>
      </c>
      <c r="C54" s="242">
        <v>4.0999999999999996</v>
      </c>
      <c r="D54" s="243">
        <v>4.2</v>
      </c>
      <c r="E54" s="241">
        <v>4.3</v>
      </c>
      <c r="F54" s="242">
        <v>4.3</v>
      </c>
      <c r="G54" s="243">
        <v>4.4000000000000004</v>
      </c>
      <c r="H54" s="241">
        <v>4.5999999999999996</v>
      </c>
      <c r="I54" s="242">
        <v>4.7</v>
      </c>
      <c r="J54" s="243">
        <v>4.8</v>
      </c>
      <c r="K54" s="241">
        <v>5.4</v>
      </c>
      <c r="L54" s="242">
        <v>5.5</v>
      </c>
      <c r="M54" s="243">
        <v>5.6</v>
      </c>
      <c r="N54" s="241">
        <v>7.9</v>
      </c>
      <c r="O54" s="242">
        <v>8</v>
      </c>
      <c r="P54" s="243">
        <v>8.3000000000000007</v>
      </c>
      <c r="Z54" s="244">
        <f t="shared" si="1"/>
        <v>5.7999999999999963</v>
      </c>
      <c r="AA54" s="376">
        <f t="shared" si="2"/>
        <v>1.7032916091605323E-2</v>
      </c>
    </row>
    <row r="55" spans="1:27">
      <c r="A55" s="244">
        <f t="shared" si="0"/>
        <v>5.8999999999999959</v>
      </c>
      <c r="B55" s="241">
        <v>4.0999999999999996</v>
      </c>
      <c r="C55" s="242">
        <v>4.0999999999999996</v>
      </c>
      <c r="D55" s="243">
        <v>4.2</v>
      </c>
      <c r="E55" s="241">
        <v>4.3</v>
      </c>
      <c r="F55" s="242">
        <v>4.3</v>
      </c>
      <c r="G55" s="243">
        <v>4.4000000000000004</v>
      </c>
      <c r="H55" s="241">
        <v>4.5999999999999996</v>
      </c>
      <c r="I55" s="242">
        <v>4.7</v>
      </c>
      <c r="J55" s="243">
        <v>4.8</v>
      </c>
      <c r="K55" s="241">
        <v>5.4</v>
      </c>
      <c r="L55" s="242">
        <v>5.5</v>
      </c>
      <c r="M55" s="243">
        <v>5.6</v>
      </c>
      <c r="N55" s="241">
        <v>7.9</v>
      </c>
      <c r="O55" s="242">
        <v>8</v>
      </c>
      <c r="P55" s="243">
        <v>8.3000000000000007</v>
      </c>
      <c r="Z55" s="244">
        <f t="shared" si="1"/>
        <v>5.8999999999999959</v>
      </c>
      <c r="AA55" s="376">
        <f t="shared" si="2"/>
        <v>1.6250733088603038E-2</v>
      </c>
    </row>
    <row r="56" spans="1:27">
      <c r="A56" s="244">
        <f t="shared" si="0"/>
        <v>5.9999999999999956</v>
      </c>
      <c r="B56" s="241">
        <v>4.0999999999999996</v>
      </c>
      <c r="C56" s="242">
        <v>4.0999999999999996</v>
      </c>
      <c r="D56" s="243">
        <v>4.2</v>
      </c>
      <c r="E56" s="241">
        <v>4.3</v>
      </c>
      <c r="F56" s="242">
        <v>4.3</v>
      </c>
      <c r="G56" s="243">
        <v>4.4000000000000004</v>
      </c>
      <c r="H56" s="241">
        <v>4.5999999999999996</v>
      </c>
      <c r="I56" s="242">
        <v>4.7</v>
      </c>
      <c r="J56" s="243">
        <v>4.8</v>
      </c>
      <c r="K56" s="241">
        <v>5.4</v>
      </c>
      <c r="L56" s="242">
        <v>5.5</v>
      </c>
      <c r="M56" s="243">
        <v>5.7</v>
      </c>
      <c r="N56" s="241">
        <v>8</v>
      </c>
      <c r="O56" s="242">
        <v>8.1</v>
      </c>
      <c r="P56" s="243">
        <v>8.4</v>
      </c>
      <c r="Z56" s="244">
        <f t="shared" si="1"/>
        <v>5.9999999999999956</v>
      </c>
      <c r="AA56" s="376">
        <f t="shared" si="2"/>
        <v>1.551672455135775E-2</v>
      </c>
    </row>
    <row r="57" spans="1:27">
      <c r="A57" s="244">
        <f t="shared" si="0"/>
        <v>6.0999999999999952</v>
      </c>
      <c r="B57" s="241">
        <v>4.0999999999999996</v>
      </c>
      <c r="C57" s="242">
        <v>4.0999999999999996</v>
      </c>
      <c r="D57" s="243">
        <v>4.2</v>
      </c>
      <c r="E57" s="241">
        <v>4.3</v>
      </c>
      <c r="F57" s="242">
        <v>4.3</v>
      </c>
      <c r="G57" s="243">
        <v>4.4000000000000004</v>
      </c>
      <c r="H57" s="241">
        <v>4.7</v>
      </c>
      <c r="I57" s="242">
        <v>4.7</v>
      </c>
      <c r="J57" s="243">
        <v>4.8</v>
      </c>
      <c r="K57" s="241">
        <v>5.5</v>
      </c>
      <c r="L57" s="242">
        <v>5.5</v>
      </c>
      <c r="M57" s="243">
        <v>5.7</v>
      </c>
      <c r="N57" s="241">
        <v>8</v>
      </c>
      <c r="O57" s="242">
        <v>8.1</v>
      </c>
      <c r="P57" s="243">
        <v>8.4</v>
      </c>
      <c r="Z57" s="244">
        <f t="shared" si="1"/>
        <v>6.0999999999999952</v>
      </c>
      <c r="AA57" s="376">
        <f t="shared" si="2"/>
        <v>1.4827193080396687E-2</v>
      </c>
    </row>
    <row r="58" spans="1:27">
      <c r="A58" s="244">
        <f t="shared" si="0"/>
        <v>6.1999999999999948</v>
      </c>
      <c r="B58" s="241">
        <v>4.0999999999999996</v>
      </c>
      <c r="C58" s="242">
        <v>4.0999999999999996</v>
      </c>
      <c r="D58" s="243">
        <v>4.2</v>
      </c>
      <c r="E58" s="241">
        <v>4.3</v>
      </c>
      <c r="F58" s="242">
        <v>4.3</v>
      </c>
      <c r="G58" s="243">
        <v>4.4000000000000004</v>
      </c>
      <c r="H58" s="241">
        <v>4.7</v>
      </c>
      <c r="I58" s="242">
        <v>4.7</v>
      </c>
      <c r="J58" s="243">
        <v>4.8</v>
      </c>
      <c r="K58" s="241">
        <v>5.5</v>
      </c>
      <c r="L58" s="242">
        <v>5.5</v>
      </c>
      <c r="M58" s="243">
        <v>5.7</v>
      </c>
      <c r="N58" s="241">
        <v>8</v>
      </c>
      <c r="O58" s="242">
        <v>8.1</v>
      </c>
      <c r="P58" s="243">
        <v>8.4</v>
      </c>
      <c r="Z58" s="244">
        <f t="shared" si="1"/>
        <v>6.1999999999999948</v>
      </c>
      <c r="AA58" s="376">
        <f t="shared" si="2"/>
        <v>1.4178779319963915E-2</v>
      </c>
    </row>
    <row r="59" spans="1:27">
      <c r="A59" s="244">
        <f t="shared" si="0"/>
        <v>6.2999999999999945</v>
      </c>
      <c r="B59" s="241">
        <v>4.0999999999999996</v>
      </c>
      <c r="C59" s="242">
        <v>4.0999999999999996</v>
      </c>
      <c r="D59" s="243">
        <v>4.2</v>
      </c>
      <c r="E59" s="241">
        <v>4.3</v>
      </c>
      <c r="F59" s="242">
        <v>4.3</v>
      </c>
      <c r="G59" s="243">
        <v>4.4000000000000004</v>
      </c>
      <c r="H59" s="241">
        <v>4.7</v>
      </c>
      <c r="I59" s="242">
        <v>4.7</v>
      </c>
      <c r="J59" s="243">
        <v>4.8</v>
      </c>
      <c r="K59" s="241">
        <v>5.5</v>
      </c>
      <c r="L59" s="242">
        <v>5.5</v>
      </c>
      <c r="M59" s="243">
        <v>5.7</v>
      </c>
      <c r="N59" s="241">
        <v>8</v>
      </c>
      <c r="O59" s="242">
        <v>8.1</v>
      </c>
      <c r="P59" s="243">
        <v>8.4</v>
      </c>
      <c r="Z59" s="244">
        <f t="shared" si="1"/>
        <v>6.2999999999999945</v>
      </c>
      <c r="AA59" s="376">
        <f t="shared" si="2"/>
        <v>1.3568426245651957E-2</v>
      </c>
    </row>
    <row r="60" spans="1:27">
      <c r="A60" s="244">
        <f t="shared" si="0"/>
        <v>6.3999999999999941</v>
      </c>
      <c r="B60" s="241">
        <v>4.0999999999999996</v>
      </c>
      <c r="C60" s="242">
        <v>4.0999999999999996</v>
      </c>
      <c r="D60" s="243">
        <v>4.2</v>
      </c>
      <c r="E60" s="241">
        <v>4.3</v>
      </c>
      <c r="F60" s="242">
        <v>4.3</v>
      </c>
      <c r="G60" s="243">
        <v>4.4000000000000004</v>
      </c>
      <c r="H60" s="241">
        <v>4.7</v>
      </c>
      <c r="I60" s="242">
        <v>4.7</v>
      </c>
      <c r="J60" s="243">
        <v>4.8</v>
      </c>
      <c r="K60" s="241">
        <v>5.5</v>
      </c>
      <c r="L60" s="242">
        <v>5.5</v>
      </c>
      <c r="M60" s="243">
        <v>5.7</v>
      </c>
      <c r="N60" s="241">
        <v>8</v>
      </c>
      <c r="O60" s="242">
        <v>8.1</v>
      </c>
      <c r="P60" s="243">
        <v>8.5</v>
      </c>
      <c r="Z60" s="244">
        <f t="shared" si="1"/>
        <v>6.3999999999999941</v>
      </c>
      <c r="AA60" s="376">
        <f t="shared" si="2"/>
        <v>1.299334771687434E-2</v>
      </c>
    </row>
    <row r="61" spans="1:27">
      <c r="A61" s="244">
        <f t="shared" si="0"/>
        <v>6.4999999999999938</v>
      </c>
      <c r="B61" s="241">
        <v>4.0999999999999996</v>
      </c>
      <c r="C61" s="242">
        <v>4.0999999999999996</v>
      </c>
      <c r="D61" s="243">
        <v>4.2</v>
      </c>
      <c r="E61" s="241">
        <v>4.3</v>
      </c>
      <c r="F61" s="242">
        <v>4.4000000000000004</v>
      </c>
      <c r="G61" s="243">
        <v>4.5</v>
      </c>
      <c r="H61" s="241">
        <v>4.7</v>
      </c>
      <c r="I61" s="242">
        <v>4.7</v>
      </c>
      <c r="J61" s="243">
        <v>4.8</v>
      </c>
      <c r="K61" s="241">
        <v>5.5</v>
      </c>
      <c r="L61" s="242">
        <v>5.5</v>
      </c>
      <c r="M61" s="243">
        <v>5.7</v>
      </c>
      <c r="N61" s="241">
        <v>8</v>
      </c>
      <c r="O61" s="242">
        <v>8.1</v>
      </c>
      <c r="P61" s="243">
        <v>8.5</v>
      </c>
      <c r="Z61" s="244">
        <f t="shared" si="1"/>
        <v>6.4999999999999938</v>
      </c>
      <c r="AA61" s="376">
        <f t="shared" si="2"/>
        <v>1.2451000727890875E-2</v>
      </c>
    </row>
    <row r="62" spans="1:27">
      <c r="A62" s="244">
        <f t="shared" si="0"/>
        <v>6.5999999999999934</v>
      </c>
      <c r="B62" s="241">
        <v>4.0999999999999996</v>
      </c>
      <c r="C62" s="242">
        <v>4.0999999999999996</v>
      </c>
      <c r="D62" s="243">
        <v>4.2</v>
      </c>
      <c r="E62" s="241">
        <v>4.3</v>
      </c>
      <c r="F62" s="242">
        <v>4.4000000000000004</v>
      </c>
      <c r="G62" s="243">
        <v>4.5</v>
      </c>
      <c r="H62" s="241">
        <v>4.7</v>
      </c>
      <c r="I62" s="242">
        <v>4.7</v>
      </c>
      <c r="J62" s="243">
        <v>4.9000000000000004</v>
      </c>
      <c r="K62" s="241">
        <v>5.5</v>
      </c>
      <c r="L62" s="242">
        <v>5.6</v>
      </c>
      <c r="M62" s="243">
        <v>5.7</v>
      </c>
      <c r="N62" s="241">
        <v>8</v>
      </c>
      <c r="O62" s="242">
        <v>8.1999999999999993</v>
      </c>
      <c r="P62" s="243">
        <v>8.5</v>
      </c>
      <c r="Z62" s="244">
        <f t="shared" si="1"/>
        <v>6.5999999999999934</v>
      </c>
      <c r="AA62" s="376">
        <f t="shared" si="2"/>
        <v>1.1939060873627484E-2</v>
      </c>
    </row>
    <row r="63" spans="1:27">
      <c r="A63" s="244">
        <f t="shared" si="0"/>
        <v>6.6999999999999931</v>
      </c>
      <c r="B63" s="241">
        <v>4.0999999999999996</v>
      </c>
      <c r="C63" s="242">
        <v>4.0999999999999996</v>
      </c>
      <c r="D63" s="243">
        <v>4.2</v>
      </c>
      <c r="E63" s="241">
        <v>4.3</v>
      </c>
      <c r="F63" s="242">
        <v>4.4000000000000004</v>
      </c>
      <c r="G63" s="243">
        <v>4.5</v>
      </c>
      <c r="H63" s="241">
        <v>4.7</v>
      </c>
      <c r="I63" s="242">
        <v>4.7</v>
      </c>
      <c r="J63" s="243">
        <v>4.9000000000000004</v>
      </c>
      <c r="K63" s="241">
        <v>5.5</v>
      </c>
      <c r="L63" s="242">
        <v>5.6</v>
      </c>
      <c r="M63" s="243">
        <v>5.8</v>
      </c>
      <c r="N63" s="241">
        <v>8</v>
      </c>
      <c r="O63" s="242">
        <v>8.1999999999999993</v>
      </c>
      <c r="P63" s="243">
        <v>8.5</v>
      </c>
      <c r="Z63" s="244">
        <f t="shared" si="1"/>
        <v>6.6999999999999931</v>
      </c>
      <c r="AA63" s="376">
        <f t="shared" si="2"/>
        <v>1.1455400615997218E-2</v>
      </c>
    </row>
    <row r="64" spans="1:27">
      <c r="A64" s="244">
        <f t="shared" si="0"/>
        <v>6.7999999999999927</v>
      </c>
      <c r="B64" s="241">
        <v>4.0999999999999996</v>
      </c>
      <c r="C64" s="242">
        <v>4.0999999999999996</v>
      </c>
      <c r="D64" s="243">
        <v>4.2</v>
      </c>
      <c r="E64" s="241">
        <v>4.3</v>
      </c>
      <c r="F64" s="242">
        <v>4.4000000000000004</v>
      </c>
      <c r="G64" s="243">
        <v>4.5</v>
      </c>
      <c r="H64" s="241">
        <v>4.7</v>
      </c>
      <c r="I64" s="242">
        <v>4.7</v>
      </c>
      <c r="J64" s="243">
        <v>4.9000000000000004</v>
      </c>
      <c r="K64" s="241">
        <v>5.5</v>
      </c>
      <c r="L64" s="242">
        <v>5.6</v>
      </c>
      <c r="M64" s="243">
        <v>5.8</v>
      </c>
      <c r="N64" s="241">
        <v>8</v>
      </c>
      <c r="O64" s="242">
        <v>8.1999999999999993</v>
      </c>
      <c r="P64" s="243">
        <v>8.6</v>
      </c>
      <c r="Z64" s="244">
        <f t="shared" si="1"/>
        <v>6.7999999999999927</v>
      </c>
      <c r="AA64" s="376">
        <f t="shared" si="2"/>
        <v>1.0998069995055827E-2</v>
      </c>
    </row>
    <row r="65" spans="1:27">
      <c r="A65" s="244">
        <f t="shared" si="0"/>
        <v>6.8999999999999924</v>
      </c>
      <c r="B65" s="241">
        <v>4.0999999999999996</v>
      </c>
      <c r="C65" s="242">
        <v>4.0999999999999996</v>
      </c>
      <c r="D65" s="243">
        <v>4.3</v>
      </c>
      <c r="E65" s="241">
        <v>4.3</v>
      </c>
      <c r="F65" s="242">
        <v>4.4000000000000004</v>
      </c>
      <c r="G65" s="243">
        <v>4.5</v>
      </c>
      <c r="H65" s="241">
        <v>4.7</v>
      </c>
      <c r="I65" s="242">
        <v>4.7</v>
      </c>
      <c r="J65" s="243">
        <v>4.9000000000000004</v>
      </c>
      <c r="K65" s="241">
        <v>5.5</v>
      </c>
      <c r="L65" s="242">
        <v>5.6</v>
      </c>
      <c r="M65" s="243">
        <v>5.8</v>
      </c>
      <c r="N65" s="241">
        <v>8</v>
      </c>
      <c r="O65" s="242">
        <v>8.1999999999999993</v>
      </c>
      <c r="P65" s="243">
        <v>8.6</v>
      </c>
      <c r="Z65" s="244">
        <f t="shared" si="1"/>
        <v>6.8999999999999924</v>
      </c>
      <c r="AA65" s="376">
        <f t="shared" si="2"/>
        <v>1.0565279478936053E-2</v>
      </c>
    </row>
    <row r="66" spans="1:27">
      <c r="A66" s="244">
        <f t="shared" si="0"/>
        <v>6.999999999999992</v>
      </c>
      <c r="B66" s="241">
        <v>4.0999999999999996</v>
      </c>
      <c r="C66" s="242">
        <v>4.2</v>
      </c>
      <c r="D66" s="243">
        <v>4.3</v>
      </c>
      <c r="E66" s="241">
        <v>4.3</v>
      </c>
      <c r="F66" s="242">
        <v>4.4000000000000004</v>
      </c>
      <c r="G66" s="243">
        <v>4.5</v>
      </c>
      <c r="H66" s="241">
        <v>4.7</v>
      </c>
      <c r="I66" s="242">
        <v>4.8</v>
      </c>
      <c r="J66" s="243">
        <v>4.9000000000000004</v>
      </c>
      <c r="K66" s="241">
        <v>5.5</v>
      </c>
      <c r="L66" s="242">
        <v>5.6</v>
      </c>
      <c r="M66" s="243">
        <v>5.8</v>
      </c>
      <c r="N66" s="241">
        <v>8</v>
      </c>
      <c r="O66" s="242">
        <v>8.1999999999999993</v>
      </c>
      <c r="P66" s="243">
        <v>8.6</v>
      </c>
      <c r="Z66" s="244">
        <f t="shared" si="1"/>
        <v>6.999999999999992</v>
      </c>
      <c r="AA66" s="376">
        <f t="shared" si="2"/>
        <v>1.0155384688593625E-2</v>
      </c>
    </row>
    <row r="67" spans="1:27">
      <c r="A67" s="244">
        <f t="shared" si="0"/>
        <v>7.0999999999999917</v>
      </c>
      <c r="B67" s="241">
        <v>4.0999999999999996</v>
      </c>
      <c r="C67" s="242">
        <v>4.2</v>
      </c>
      <c r="D67" s="243">
        <v>4.3</v>
      </c>
      <c r="E67" s="241">
        <v>4.3</v>
      </c>
      <c r="F67" s="242">
        <v>4.4000000000000004</v>
      </c>
      <c r="G67" s="243">
        <v>4.5</v>
      </c>
      <c r="H67" s="241">
        <v>4.7</v>
      </c>
      <c r="I67" s="242">
        <v>4.8</v>
      </c>
      <c r="J67" s="243">
        <v>4.9000000000000004</v>
      </c>
      <c r="K67" s="241">
        <v>5.5</v>
      </c>
      <c r="L67" s="242">
        <v>5.6</v>
      </c>
      <c r="M67" s="243">
        <v>5.8</v>
      </c>
      <c r="N67" s="241">
        <v>8.1</v>
      </c>
      <c r="O67" s="242">
        <v>8.3000000000000007</v>
      </c>
      <c r="P67" s="243">
        <v>8.6999999999999993</v>
      </c>
      <c r="Z67" s="244">
        <f t="shared" si="1"/>
        <v>7.0999999999999917</v>
      </c>
      <c r="AA67" s="376">
        <f t="shared" si="2"/>
        <v>9.7668727691939006E-3</v>
      </c>
    </row>
    <row r="68" spans="1:27">
      <c r="A68" s="244">
        <f t="shared" si="0"/>
        <v>7.1999999999999913</v>
      </c>
      <c r="B68" s="241">
        <v>4.0999999999999996</v>
      </c>
      <c r="C68" s="242">
        <v>4.2</v>
      </c>
      <c r="D68" s="243">
        <v>4.3</v>
      </c>
      <c r="E68" s="241">
        <v>4.3</v>
      </c>
      <c r="F68" s="242">
        <v>4.4000000000000004</v>
      </c>
      <c r="G68" s="243">
        <v>4.5</v>
      </c>
      <c r="H68" s="241">
        <v>4.7</v>
      </c>
      <c r="I68" s="242">
        <v>4.8</v>
      </c>
      <c r="J68" s="243">
        <v>4.9000000000000004</v>
      </c>
      <c r="K68" s="241">
        <v>5.5</v>
      </c>
      <c r="L68" s="242">
        <v>5.6</v>
      </c>
      <c r="M68" s="243">
        <v>5.8</v>
      </c>
      <c r="N68" s="241">
        <v>8.1</v>
      </c>
      <c r="O68" s="242">
        <v>8.3000000000000007</v>
      </c>
      <c r="P68" s="243">
        <v>8.6999999999999993</v>
      </c>
      <c r="Z68" s="244">
        <f t="shared" si="1"/>
        <v>7.1999999999999913</v>
      </c>
      <c r="AA68" s="376">
        <f t="shared" si="2"/>
        <v>9.3983502104856773E-3</v>
      </c>
    </row>
    <row r="69" spans="1:27">
      <c r="A69" s="244">
        <f t="shared" si="0"/>
        <v>7.2999999999999909</v>
      </c>
      <c r="B69" s="241">
        <v>4.0999999999999996</v>
      </c>
      <c r="C69" s="242">
        <v>4.2</v>
      </c>
      <c r="D69" s="243">
        <v>4.3</v>
      </c>
      <c r="E69" s="241">
        <v>4.3</v>
      </c>
      <c r="F69" s="242">
        <v>4.4000000000000004</v>
      </c>
      <c r="G69" s="243">
        <v>4.5</v>
      </c>
      <c r="H69" s="241">
        <v>4.7</v>
      </c>
      <c r="I69" s="242">
        <v>4.8</v>
      </c>
      <c r="J69" s="243">
        <v>4.9000000000000004</v>
      </c>
      <c r="K69" s="241">
        <v>5.5</v>
      </c>
      <c r="L69" s="242">
        <v>5.6</v>
      </c>
      <c r="M69" s="243">
        <v>5.9</v>
      </c>
      <c r="N69" s="241">
        <v>8.1</v>
      </c>
      <c r="O69" s="242">
        <v>8.3000000000000007</v>
      </c>
      <c r="P69" s="243">
        <v>8.6999999999999993</v>
      </c>
      <c r="Z69" s="244">
        <f t="shared" si="1"/>
        <v>7.2999999999999909</v>
      </c>
      <c r="AA69" s="376">
        <f t="shared" si="2"/>
        <v>9.0485319445868639E-3</v>
      </c>
    </row>
    <row r="70" spans="1:27">
      <c r="A70" s="244">
        <f t="shared" si="0"/>
        <v>7.3999999999999906</v>
      </c>
      <c r="B70" s="241">
        <v>4.0999999999999996</v>
      </c>
      <c r="C70" s="242">
        <v>4.2</v>
      </c>
      <c r="D70" s="243">
        <v>4.3</v>
      </c>
      <c r="E70" s="241">
        <v>4.3</v>
      </c>
      <c r="F70" s="242">
        <v>4.4000000000000004</v>
      </c>
      <c r="G70" s="243">
        <v>4.5</v>
      </c>
      <c r="H70" s="241">
        <v>4.7</v>
      </c>
      <c r="I70" s="242">
        <v>4.8</v>
      </c>
      <c r="J70" s="243">
        <v>4.9000000000000004</v>
      </c>
      <c r="K70" s="241">
        <v>5.5</v>
      </c>
      <c r="L70" s="242">
        <v>5.6</v>
      </c>
      <c r="M70" s="243">
        <v>5.9</v>
      </c>
      <c r="N70" s="241">
        <v>8.1</v>
      </c>
      <c r="O70" s="242">
        <v>8.3000000000000007</v>
      </c>
      <c r="P70" s="243">
        <v>8.8000000000000007</v>
      </c>
      <c r="Z70" s="244">
        <f t="shared" si="1"/>
        <v>7.3999999999999906</v>
      </c>
      <c r="AA70" s="376">
        <f t="shared" si="2"/>
        <v>8.716231571942094E-3</v>
      </c>
    </row>
    <row r="71" spans="1:27">
      <c r="A71" s="244">
        <f t="shared" ref="A71:A134" si="3">A70+0.1</f>
        <v>7.4999999999999902</v>
      </c>
      <c r="B71" s="241">
        <v>4.0999999999999996</v>
      </c>
      <c r="C71" s="242">
        <v>4.2</v>
      </c>
      <c r="D71" s="243">
        <v>4.3</v>
      </c>
      <c r="E71" s="241">
        <v>4.3</v>
      </c>
      <c r="F71" s="242">
        <v>4.4000000000000004</v>
      </c>
      <c r="G71" s="243">
        <v>4.5</v>
      </c>
      <c r="H71" s="241">
        <v>4.7</v>
      </c>
      <c r="I71" s="242">
        <v>4.8</v>
      </c>
      <c r="J71" s="243">
        <v>5</v>
      </c>
      <c r="K71" s="241">
        <v>5.5</v>
      </c>
      <c r="L71" s="242">
        <v>5.6</v>
      </c>
      <c r="M71" s="243">
        <v>5.9</v>
      </c>
      <c r="N71" s="241">
        <v>8.1</v>
      </c>
      <c r="O71" s="242">
        <v>8.3000000000000007</v>
      </c>
      <c r="P71" s="243">
        <v>8.8000000000000007</v>
      </c>
      <c r="Z71" s="244">
        <f t="shared" ref="Z71:Z134" si="4">Z70+0.1</f>
        <v>7.4999999999999902</v>
      </c>
      <c r="AA71" s="376">
        <f t="shared" ref="AA71:AA134" si="5">T_gal(Z71)</f>
        <v>8.4003525853841351E-3</v>
      </c>
    </row>
    <row r="72" spans="1:27">
      <c r="A72" s="244">
        <f t="shared" si="3"/>
        <v>7.5999999999999899</v>
      </c>
      <c r="B72" s="241">
        <v>4.0999999999999996</v>
      </c>
      <c r="C72" s="242">
        <v>4.2</v>
      </c>
      <c r="D72" s="243">
        <v>4.3</v>
      </c>
      <c r="E72" s="241">
        <v>4.3</v>
      </c>
      <c r="F72" s="242">
        <v>4.4000000000000004</v>
      </c>
      <c r="G72" s="243">
        <v>4.5999999999999996</v>
      </c>
      <c r="H72" s="241">
        <v>4.7</v>
      </c>
      <c r="I72" s="242">
        <v>4.8</v>
      </c>
      <c r="J72" s="243">
        <v>5</v>
      </c>
      <c r="K72" s="241">
        <v>5.5</v>
      </c>
      <c r="L72" s="242">
        <v>5.7</v>
      </c>
      <c r="M72" s="243">
        <v>5.9</v>
      </c>
      <c r="N72" s="241">
        <v>8.1</v>
      </c>
      <c r="O72" s="242">
        <v>8.4</v>
      </c>
      <c r="P72" s="243">
        <v>8.8000000000000007</v>
      </c>
      <c r="Z72" s="244">
        <f t="shared" si="4"/>
        <v>7.5999999999999899</v>
      </c>
      <c r="AA72" s="376">
        <f t="shared" si="5"/>
        <v>8.0998804787228741E-3</v>
      </c>
    </row>
    <row r="73" spans="1:27">
      <c r="A73" s="244">
        <f t="shared" si="3"/>
        <v>7.6999999999999895</v>
      </c>
      <c r="B73" s="241">
        <v>4.0999999999999996</v>
      </c>
      <c r="C73" s="242">
        <v>4.2</v>
      </c>
      <c r="D73" s="243">
        <v>4.3</v>
      </c>
      <c r="E73" s="241">
        <v>4.3</v>
      </c>
      <c r="F73" s="242">
        <v>4.4000000000000004</v>
      </c>
      <c r="G73" s="243">
        <v>4.5999999999999996</v>
      </c>
      <c r="H73" s="241">
        <v>4.7</v>
      </c>
      <c r="I73" s="242">
        <v>4.8</v>
      </c>
      <c r="J73" s="243">
        <v>5</v>
      </c>
      <c r="K73" s="241">
        <v>5.5</v>
      </c>
      <c r="L73" s="242">
        <v>5.7</v>
      </c>
      <c r="M73" s="243">
        <v>5.9</v>
      </c>
      <c r="N73" s="241">
        <v>8.1</v>
      </c>
      <c r="O73" s="242">
        <v>8.4</v>
      </c>
      <c r="P73" s="243">
        <v>8.9</v>
      </c>
      <c r="Z73" s="244">
        <f t="shared" si="4"/>
        <v>7.6999999999999895</v>
      </c>
      <c r="AA73" s="376">
        <f t="shared" si="5"/>
        <v>7.8138756405013617E-3</v>
      </c>
    </row>
    <row r="74" spans="1:27">
      <c r="A74" s="244">
        <f t="shared" si="3"/>
        <v>7.7999999999999892</v>
      </c>
      <c r="B74" s="241">
        <v>4.0999999999999996</v>
      </c>
      <c r="C74" s="242">
        <v>4.2</v>
      </c>
      <c r="D74" s="243">
        <v>4.3</v>
      </c>
      <c r="E74" s="241">
        <v>4.3</v>
      </c>
      <c r="F74" s="242">
        <v>4.4000000000000004</v>
      </c>
      <c r="G74" s="243">
        <v>4.5999999999999996</v>
      </c>
      <c r="H74" s="241">
        <v>4.7</v>
      </c>
      <c r="I74" s="242">
        <v>4.8</v>
      </c>
      <c r="J74" s="243">
        <v>5</v>
      </c>
      <c r="K74" s="241">
        <v>5.5</v>
      </c>
      <c r="L74" s="242">
        <v>5.7</v>
      </c>
      <c r="M74" s="243">
        <v>5.9</v>
      </c>
      <c r="N74" s="241">
        <v>8.1</v>
      </c>
      <c r="O74" s="242">
        <v>8.4</v>
      </c>
      <c r="P74" s="243">
        <v>8.9</v>
      </c>
      <c r="Z74" s="244">
        <f t="shared" si="4"/>
        <v>7.7999999999999892</v>
      </c>
      <c r="AA74" s="376">
        <f t="shared" si="5"/>
        <v>7.5414669458375499E-3</v>
      </c>
    </row>
    <row r="75" spans="1:27">
      <c r="A75" s="244">
        <f t="shared" si="3"/>
        <v>7.8999999999999888</v>
      </c>
      <c r="B75" s="241">
        <v>4.0999999999999996</v>
      </c>
      <c r="C75" s="242">
        <v>4.2</v>
      </c>
      <c r="D75" s="243">
        <v>4.3</v>
      </c>
      <c r="E75" s="241">
        <v>4.4000000000000004</v>
      </c>
      <c r="F75" s="242">
        <v>4.4000000000000004</v>
      </c>
      <c r="G75" s="243">
        <v>4.5999999999999996</v>
      </c>
      <c r="H75" s="241">
        <v>4.7</v>
      </c>
      <c r="I75" s="242">
        <v>4.8</v>
      </c>
      <c r="J75" s="243">
        <v>5</v>
      </c>
      <c r="K75" s="241">
        <v>5.5</v>
      </c>
      <c r="L75" s="242">
        <v>5.7</v>
      </c>
      <c r="M75" s="243">
        <v>6</v>
      </c>
      <c r="N75" s="241">
        <v>8.1</v>
      </c>
      <c r="O75" s="242">
        <v>8.4</v>
      </c>
      <c r="P75" s="243">
        <v>8.9</v>
      </c>
      <c r="Z75" s="244">
        <f t="shared" si="4"/>
        <v>7.8999999999999888</v>
      </c>
      <c r="AA75" s="376">
        <f t="shared" si="5"/>
        <v>7.2818459698971213E-3</v>
      </c>
    </row>
    <row r="76" spans="1:27">
      <c r="A76" s="244">
        <f t="shared" si="3"/>
        <v>7.9999999999999885</v>
      </c>
      <c r="B76" s="241">
        <v>4.0999999999999996</v>
      </c>
      <c r="C76" s="242">
        <v>4.2</v>
      </c>
      <c r="D76" s="243">
        <v>4.3</v>
      </c>
      <c r="E76" s="241">
        <v>4.4000000000000004</v>
      </c>
      <c r="F76" s="242">
        <v>4.4000000000000004</v>
      </c>
      <c r="G76" s="243">
        <v>4.5999999999999996</v>
      </c>
      <c r="H76" s="241">
        <v>4.7</v>
      </c>
      <c r="I76" s="242">
        <v>4.8</v>
      </c>
      <c r="J76" s="243">
        <v>5</v>
      </c>
      <c r="K76" s="241">
        <v>5.6</v>
      </c>
      <c r="L76" s="242">
        <v>5.7</v>
      </c>
      <c r="M76" s="243">
        <v>6</v>
      </c>
      <c r="N76" s="241">
        <v>8.1999999999999993</v>
      </c>
      <c r="O76" s="242">
        <v>8.4</v>
      </c>
      <c r="P76" s="243">
        <v>9</v>
      </c>
      <c r="Z76" s="244">
        <f t="shared" si="4"/>
        <v>7.9999999999999885</v>
      </c>
      <c r="AA76" s="376">
        <f t="shared" si="5"/>
        <v>7.0342617557575737E-3</v>
      </c>
    </row>
    <row r="77" spans="1:27">
      <c r="A77" s="244">
        <f t="shared" si="3"/>
        <v>8.099999999999989</v>
      </c>
      <c r="B77" s="241">
        <v>4.0999999999999996</v>
      </c>
      <c r="C77" s="242">
        <v>4.2</v>
      </c>
      <c r="D77" s="243">
        <v>4.4000000000000004</v>
      </c>
      <c r="E77" s="241">
        <v>4.4000000000000004</v>
      </c>
      <c r="F77" s="242">
        <v>4.4000000000000004</v>
      </c>
      <c r="G77" s="243">
        <v>4.5999999999999996</v>
      </c>
      <c r="H77" s="241">
        <v>4.7</v>
      </c>
      <c r="I77" s="242">
        <v>4.8</v>
      </c>
      <c r="J77" s="243">
        <v>5</v>
      </c>
      <c r="K77" s="241">
        <v>5.6</v>
      </c>
      <c r="L77" s="242">
        <v>5.7</v>
      </c>
      <c r="M77" s="243">
        <v>6</v>
      </c>
      <c r="N77" s="241">
        <v>8.1999999999999993</v>
      </c>
      <c r="O77" s="242">
        <v>8.5</v>
      </c>
      <c r="P77" s="243">
        <v>9</v>
      </c>
      <c r="Z77" s="244">
        <f t="shared" si="4"/>
        <v>8.099999999999989</v>
      </c>
      <c r="AA77" s="376">
        <f t="shared" si="5"/>
        <v>6.7980160774289197E-3</v>
      </c>
    </row>
    <row r="78" spans="1:27">
      <c r="A78" s="244">
        <f t="shared" si="3"/>
        <v>8.1999999999999886</v>
      </c>
      <c r="B78" s="241">
        <v>4.0999999999999996</v>
      </c>
      <c r="C78" s="242">
        <v>4.2</v>
      </c>
      <c r="D78" s="243">
        <v>4.4000000000000004</v>
      </c>
      <c r="E78" s="241">
        <v>4.4000000000000004</v>
      </c>
      <c r="F78" s="242">
        <v>4.5</v>
      </c>
      <c r="G78" s="243">
        <v>4.5999999999999996</v>
      </c>
      <c r="H78" s="241">
        <v>4.7</v>
      </c>
      <c r="I78" s="242">
        <v>4.8</v>
      </c>
      <c r="J78" s="243">
        <v>5.0999999999999996</v>
      </c>
      <c r="K78" s="241">
        <v>5.6</v>
      </c>
      <c r="L78" s="242">
        <v>5.7</v>
      </c>
      <c r="M78" s="243">
        <v>6</v>
      </c>
      <c r="N78" s="241">
        <v>8.1999999999999993</v>
      </c>
      <c r="O78" s="242">
        <v>8.5</v>
      </c>
      <c r="P78" s="243">
        <v>9</v>
      </c>
      <c r="Z78" s="244">
        <f t="shared" si="4"/>
        <v>8.1999999999999886</v>
      </c>
      <c r="AA78" s="376">
        <f t="shared" si="5"/>
        <v>6.5724591457635012E-3</v>
      </c>
    </row>
    <row r="79" spans="1:27">
      <c r="A79" s="244">
        <f t="shared" si="3"/>
        <v>8.2999999999999883</v>
      </c>
      <c r="B79" s="241">
        <v>4.0999999999999996</v>
      </c>
      <c r="C79" s="242">
        <v>4.2</v>
      </c>
      <c r="D79" s="243">
        <v>4.4000000000000004</v>
      </c>
      <c r="E79" s="241">
        <v>4.4000000000000004</v>
      </c>
      <c r="F79" s="242">
        <v>4.5</v>
      </c>
      <c r="G79" s="243">
        <v>4.5999999999999996</v>
      </c>
      <c r="H79" s="241">
        <v>4.7</v>
      </c>
      <c r="I79" s="242">
        <v>4.9000000000000004</v>
      </c>
      <c r="J79" s="243">
        <v>5.0999999999999996</v>
      </c>
      <c r="K79" s="241">
        <v>5.6</v>
      </c>
      <c r="L79" s="242">
        <v>5.7</v>
      </c>
      <c r="M79" s="243">
        <v>6</v>
      </c>
      <c r="N79" s="241">
        <v>8.1999999999999993</v>
      </c>
      <c r="O79" s="242">
        <v>8.5</v>
      </c>
      <c r="P79" s="243">
        <v>9.1</v>
      </c>
      <c r="Z79" s="244">
        <f t="shared" si="4"/>
        <v>8.2999999999999883</v>
      </c>
      <c r="AA79" s="376">
        <f t="shared" si="5"/>
        <v>6.356985711061653E-3</v>
      </c>
    </row>
    <row r="80" spans="1:27">
      <c r="A80" s="244">
        <f t="shared" si="3"/>
        <v>8.3999999999999879</v>
      </c>
      <c r="B80" s="241">
        <v>4.0999999999999996</v>
      </c>
      <c r="C80" s="242">
        <v>4.2</v>
      </c>
      <c r="D80" s="243">
        <v>4.4000000000000004</v>
      </c>
      <c r="E80" s="241">
        <v>4.4000000000000004</v>
      </c>
      <c r="F80" s="242">
        <v>4.5</v>
      </c>
      <c r="G80" s="243">
        <v>4.5999999999999996</v>
      </c>
      <c r="H80" s="241">
        <v>4.7</v>
      </c>
      <c r="I80" s="242">
        <v>4.9000000000000004</v>
      </c>
      <c r="J80" s="243">
        <v>5.0999999999999996</v>
      </c>
      <c r="K80" s="241">
        <v>5.6</v>
      </c>
      <c r="L80" s="242">
        <v>5.7</v>
      </c>
      <c r="M80" s="243">
        <v>6.1</v>
      </c>
      <c r="N80" s="241">
        <v>8.1999999999999993</v>
      </c>
      <c r="O80" s="242">
        <v>8.5</v>
      </c>
      <c r="P80" s="243">
        <v>9.1</v>
      </c>
      <c r="Z80" s="244">
        <f t="shared" si="4"/>
        <v>8.3999999999999879</v>
      </c>
      <c r="AA80" s="376">
        <f t="shared" si="5"/>
        <v>6.151031521485331E-3</v>
      </c>
    </row>
    <row r="81" spans="1:27">
      <c r="A81" s="244">
        <f t="shared" si="3"/>
        <v>8.4999999999999876</v>
      </c>
      <c r="B81" s="241">
        <v>4.0999999999999996</v>
      </c>
      <c r="C81" s="242">
        <v>4.2</v>
      </c>
      <c r="D81" s="243">
        <v>4.4000000000000004</v>
      </c>
      <c r="E81" s="241">
        <v>4.4000000000000004</v>
      </c>
      <c r="F81" s="242">
        <v>4.5</v>
      </c>
      <c r="G81" s="243">
        <v>4.7</v>
      </c>
      <c r="H81" s="241">
        <v>4.7</v>
      </c>
      <c r="I81" s="242">
        <v>4.9000000000000004</v>
      </c>
      <c r="J81" s="243">
        <v>5.0999999999999996</v>
      </c>
      <c r="K81" s="241">
        <v>5.6</v>
      </c>
      <c r="L81" s="242">
        <v>5.8</v>
      </c>
      <c r="M81" s="243">
        <v>6.1</v>
      </c>
      <c r="N81" s="241">
        <v>8.1999999999999993</v>
      </c>
      <c r="O81" s="242">
        <v>8.5</v>
      </c>
      <c r="P81" s="243">
        <v>9.1</v>
      </c>
      <c r="Z81" s="244">
        <f t="shared" si="4"/>
        <v>8.4999999999999876</v>
      </c>
      <c r="AA81" s="376">
        <f t="shared" si="5"/>
        <v>5.954070101032936E-3</v>
      </c>
    </row>
    <row r="82" spans="1:27">
      <c r="A82" s="244">
        <f t="shared" si="3"/>
        <v>8.5999999999999872</v>
      </c>
      <c r="B82" s="241">
        <v>4.2</v>
      </c>
      <c r="C82" s="242">
        <v>4.2</v>
      </c>
      <c r="D82" s="243">
        <v>4.4000000000000004</v>
      </c>
      <c r="E82" s="241">
        <v>4.4000000000000004</v>
      </c>
      <c r="F82" s="242">
        <v>4.5</v>
      </c>
      <c r="G82" s="243">
        <v>4.7</v>
      </c>
      <c r="H82" s="241">
        <v>4.8</v>
      </c>
      <c r="I82" s="242">
        <v>4.9000000000000004</v>
      </c>
      <c r="J82" s="243">
        <v>5.0999999999999996</v>
      </c>
      <c r="K82" s="241">
        <v>5.6</v>
      </c>
      <c r="L82" s="242">
        <v>5.8</v>
      </c>
      <c r="M82" s="243">
        <v>6.1</v>
      </c>
      <c r="N82" s="241">
        <v>8.1999999999999993</v>
      </c>
      <c r="O82" s="242">
        <v>8.6</v>
      </c>
      <c r="P82" s="243">
        <v>9.1999999999999993</v>
      </c>
      <c r="Z82" s="244">
        <f t="shared" si="4"/>
        <v>8.5999999999999872</v>
      </c>
      <c r="AA82" s="376">
        <f t="shared" si="5"/>
        <v>5.7656098148957322E-3</v>
      </c>
    </row>
    <row r="83" spans="1:27">
      <c r="A83" s="244">
        <f t="shared" si="3"/>
        <v>8.6999999999999869</v>
      </c>
      <c r="B83" s="241">
        <v>4.2</v>
      </c>
      <c r="C83" s="242">
        <v>4.2</v>
      </c>
      <c r="D83" s="243">
        <v>4.4000000000000004</v>
      </c>
      <c r="E83" s="241">
        <v>4.4000000000000004</v>
      </c>
      <c r="F83" s="242">
        <v>4.5</v>
      </c>
      <c r="G83" s="243">
        <v>4.7</v>
      </c>
      <c r="H83" s="241">
        <v>4.8</v>
      </c>
      <c r="I83" s="242">
        <v>4.9000000000000004</v>
      </c>
      <c r="J83" s="243">
        <v>5.0999999999999996</v>
      </c>
      <c r="K83" s="241">
        <v>5.6</v>
      </c>
      <c r="L83" s="242">
        <v>5.8</v>
      </c>
      <c r="M83" s="243">
        <v>6.1</v>
      </c>
      <c r="N83" s="241">
        <v>8.1999999999999993</v>
      </c>
      <c r="O83" s="242">
        <v>8.6</v>
      </c>
      <c r="P83" s="243">
        <v>9.1999999999999993</v>
      </c>
      <c r="Z83" s="244">
        <f t="shared" si="4"/>
        <v>8.6999999999999869</v>
      </c>
      <c r="AA83" s="376">
        <f t="shared" si="5"/>
        <v>5.5851911935858728E-3</v>
      </c>
    </row>
    <row r="84" spans="1:27">
      <c r="A84" s="244">
        <f t="shared" si="3"/>
        <v>8.7999999999999865</v>
      </c>
      <c r="B84" s="241">
        <v>4.2</v>
      </c>
      <c r="C84" s="242">
        <v>4.3</v>
      </c>
      <c r="D84" s="243">
        <v>4.4000000000000004</v>
      </c>
      <c r="E84" s="241">
        <v>4.4000000000000004</v>
      </c>
      <c r="F84" s="242">
        <v>4.5</v>
      </c>
      <c r="G84" s="243">
        <v>4.7</v>
      </c>
      <c r="H84" s="241">
        <v>4.8</v>
      </c>
      <c r="I84" s="242">
        <v>4.9000000000000004</v>
      </c>
      <c r="J84" s="243">
        <v>5.0999999999999996</v>
      </c>
      <c r="K84" s="241">
        <v>5.6</v>
      </c>
      <c r="L84" s="242">
        <v>5.8</v>
      </c>
      <c r="M84" s="243">
        <v>6.1</v>
      </c>
      <c r="N84" s="241">
        <v>8.3000000000000007</v>
      </c>
      <c r="O84" s="242">
        <v>8.6</v>
      </c>
      <c r="P84" s="243">
        <v>9.3000000000000007</v>
      </c>
      <c r="Z84" s="244">
        <f t="shared" si="4"/>
        <v>8.7999999999999865</v>
      </c>
      <c r="AA84" s="376">
        <f t="shared" si="5"/>
        <v>5.4123844903640247E-3</v>
      </c>
    </row>
    <row r="85" spans="1:27">
      <c r="A85" s="244">
        <f t="shared" si="3"/>
        <v>8.8999999999999861</v>
      </c>
      <c r="B85" s="241">
        <v>4.2</v>
      </c>
      <c r="C85" s="242">
        <v>4.3</v>
      </c>
      <c r="D85" s="243">
        <v>4.4000000000000004</v>
      </c>
      <c r="E85" s="241">
        <v>4.4000000000000004</v>
      </c>
      <c r="F85" s="242">
        <v>4.5</v>
      </c>
      <c r="G85" s="243">
        <v>4.7</v>
      </c>
      <c r="H85" s="241">
        <v>4.8</v>
      </c>
      <c r="I85" s="242">
        <v>4.9000000000000004</v>
      </c>
      <c r="J85" s="243">
        <v>5.2</v>
      </c>
      <c r="K85" s="241">
        <v>5.6</v>
      </c>
      <c r="L85" s="242">
        <v>5.8</v>
      </c>
      <c r="M85" s="243">
        <v>6.2</v>
      </c>
      <c r="N85" s="241">
        <v>8.3000000000000007</v>
      </c>
      <c r="O85" s="242">
        <v>8.6</v>
      </c>
      <c r="P85" s="243">
        <v>9.3000000000000007</v>
      </c>
      <c r="Z85" s="244">
        <f t="shared" si="4"/>
        <v>8.8999999999999861</v>
      </c>
      <c r="AA85" s="376">
        <f t="shared" si="5"/>
        <v>5.2467874492574014E-3</v>
      </c>
    </row>
    <row r="86" spans="1:27">
      <c r="A86" s="244">
        <f t="shared" si="3"/>
        <v>8.9999999999999858</v>
      </c>
      <c r="B86" s="241">
        <v>4.2</v>
      </c>
      <c r="C86" s="242">
        <v>4.3</v>
      </c>
      <c r="D86" s="243">
        <v>4.4000000000000004</v>
      </c>
      <c r="E86" s="241">
        <v>4.4000000000000004</v>
      </c>
      <c r="F86" s="242">
        <v>4.5</v>
      </c>
      <c r="G86" s="243">
        <v>4.7</v>
      </c>
      <c r="H86" s="241">
        <v>4.8</v>
      </c>
      <c r="I86" s="242">
        <v>4.9000000000000004</v>
      </c>
      <c r="J86" s="243">
        <v>5.2</v>
      </c>
      <c r="K86" s="241">
        <v>5.6</v>
      </c>
      <c r="L86" s="242">
        <v>5.8</v>
      </c>
      <c r="M86" s="243">
        <v>6.2</v>
      </c>
      <c r="N86" s="241">
        <v>8.3000000000000007</v>
      </c>
      <c r="O86" s="242">
        <v>8.6999999999999993</v>
      </c>
      <c r="P86" s="243">
        <v>9.4</v>
      </c>
      <c r="Z86" s="244">
        <f t="shared" si="4"/>
        <v>8.9999999999999858</v>
      </c>
      <c r="AA86" s="376">
        <f t="shared" si="5"/>
        <v>5.0880232633948872E-3</v>
      </c>
    </row>
    <row r="87" spans="1:27">
      <c r="A87" s="244">
        <f t="shared" si="3"/>
        <v>9.0999999999999854</v>
      </c>
      <c r="B87" s="241">
        <v>4.2</v>
      </c>
      <c r="C87" s="242">
        <v>4.3</v>
      </c>
      <c r="D87" s="243">
        <v>4.5</v>
      </c>
      <c r="E87" s="241">
        <v>4.4000000000000004</v>
      </c>
      <c r="F87" s="242">
        <v>4.5</v>
      </c>
      <c r="G87" s="243">
        <v>4.7</v>
      </c>
      <c r="H87" s="241">
        <v>4.8</v>
      </c>
      <c r="I87" s="242">
        <v>4.9000000000000004</v>
      </c>
      <c r="J87" s="243">
        <v>5.2</v>
      </c>
      <c r="K87" s="241">
        <v>5.6</v>
      </c>
      <c r="L87" s="242">
        <v>5.8</v>
      </c>
      <c r="M87" s="243">
        <v>6.2</v>
      </c>
      <c r="N87" s="241">
        <v>8.3000000000000007</v>
      </c>
      <c r="O87" s="242">
        <v>8.6999999999999993</v>
      </c>
      <c r="P87" s="243">
        <v>9.4</v>
      </c>
      <c r="Z87" s="244">
        <f t="shared" si="4"/>
        <v>9.0999999999999854</v>
      </c>
      <c r="AA87" s="376">
        <f t="shared" si="5"/>
        <v>4.9357387055370544E-3</v>
      </c>
    </row>
    <row r="88" spans="1:27">
      <c r="A88" s="244">
        <f t="shared" si="3"/>
        <v>9.1999999999999851</v>
      </c>
      <c r="B88" s="241">
        <v>4.2</v>
      </c>
      <c r="C88" s="242">
        <v>4.3</v>
      </c>
      <c r="D88" s="243">
        <v>4.5</v>
      </c>
      <c r="E88" s="241">
        <v>4.4000000000000004</v>
      </c>
      <c r="F88" s="242">
        <v>4.5</v>
      </c>
      <c r="G88" s="243">
        <v>4.7</v>
      </c>
      <c r="H88" s="241">
        <v>4.8</v>
      </c>
      <c r="I88" s="242">
        <v>4.9000000000000004</v>
      </c>
      <c r="J88" s="243">
        <v>5.2</v>
      </c>
      <c r="K88" s="241">
        <v>5.6</v>
      </c>
      <c r="L88" s="242">
        <v>5.9</v>
      </c>
      <c r="M88" s="243">
        <v>6.2</v>
      </c>
      <c r="N88" s="241">
        <v>8.3000000000000007</v>
      </c>
      <c r="O88" s="242">
        <v>8.6999999999999993</v>
      </c>
      <c r="P88" s="243">
        <v>9.4</v>
      </c>
      <c r="Z88" s="244">
        <f t="shared" si="4"/>
        <v>9.1999999999999851</v>
      </c>
      <c r="AA88" s="376">
        <f t="shared" si="5"/>
        <v>4.7896024145809195E-3</v>
      </c>
    </row>
    <row r="89" spans="1:27">
      <c r="A89" s="244">
        <f t="shared" si="3"/>
        <v>9.2999999999999847</v>
      </c>
      <c r="B89" s="241">
        <v>4.2</v>
      </c>
      <c r="C89" s="242">
        <v>4.3</v>
      </c>
      <c r="D89" s="243">
        <v>4.5</v>
      </c>
      <c r="E89" s="241">
        <v>4.4000000000000004</v>
      </c>
      <c r="F89" s="242">
        <v>4.5</v>
      </c>
      <c r="G89" s="243">
        <v>4.8</v>
      </c>
      <c r="H89" s="241">
        <v>4.8</v>
      </c>
      <c r="I89" s="242">
        <v>4.9000000000000004</v>
      </c>
      <c r="J89" s="243">
        <v>5.2</v>
      </c>
      <c r="K89" s="241">
        <v>5.6</v>
      </c>
      <c r="L89" s="242">
        <v>5.9</v>
      </c>
      <c r="M89" s="243">
        <v>6.3</v>
      </c>
      <c r="N89" s="241">
        <v>8.3000000000000007</v>
      </c>
      <c r="O89" s="242">
        <v>8.8000000000000007</v>
      </c>
      <c r="P89" s="243">
        <v>9.5</v>
      </c>
      <c r="Z89" s="244">
        <f t="shared" si="4"/>
        <v>9.2999999999999847</v>
      </c>
      <c r="AA89" s="376">
        <f t="shared" si="5"/>
        <v>4.6493033235036809E-3</v>
      </c>
    </row>
    <row r="90" spans="1:27">
      <c r="A90" s="244">
        <f t="shared" si="3"/>
        <v>9.3999999999999844</v>
      </c>
      <c r="B90" s="241">
        <v>4.2</v>
      </c>
      <c r="C90" s="242">
        <v>4.3</v>
      </c>
      <c r="D90" s="243">
        <v>4.5</v>
      </c>
      <c r="E90" s="241">
        <v>4.4000000000000004</v>
      </c>
      <c r="F90" s="242">
        <v>4.5</v>
      </c>
      <c r="G90" s="243">
        <v>4.8</v>
      </c>
      <c r="H90" s="241">
        <v>4.8</v>
      </c>
      <c r="I90" s="242">
        <v>5</v>
      </c>
      <c r="J90" s="243">
        <v>5.2</v>
      </c>
      <c r="K90" s="241">
        <v>5.6</v>
      </c>
      <c r="L90" s="242">
        <v>5.9</v>
      </c>
      <c r="M90" s="243">
        <v>6.3</v>
      </c>
      <c r="N90" s="241">
        <v>8.3000000000000007</v>
      </c>
      <c r="O90" s="242">
        <v>8.8000000000000007</v>
      </c>
      <c r="P90" s="243">
        <v>9.5</v>
      </c>
      <c r="Z90" s="244">
        <f t="shared" si="4"/>
        <v>9.3999999999999844</v>
      </c>
      <c r="AA90" s="376">
        <f t="shared" si="5"/>
        <v>4.5145492157031078E-3</v>
      </c>
    </row>
    <row r="91" spans="1:27">
      <c r="A91" s="244">
        <f t="shared" si="3"/>
        <v>9.499999999999984</v>
      </c>
      <c r="B91" s="241">
        <v>4.2</v>
      </c>
      <c r="C91" s="242">
        <v>4.3</v>
      </c>
      <c r="D91" s="243">
        <v>4.5</v>
      </c>
      <c r="E91" s="241">
        <v>4.4000000000000004</v>
      </c>
      <c r="F91" s="242">
        <v>4.5999999999999996</v>
      </c>
      <c r="G91" s="243">
        <v>4.8</v>
      </c>
      <c r="H91" s="241">
        <v>4.8</v>
      </c>
      <c r="I91" s="242">
        <v>5</v>
      </c>
      <c r="J91" s="243">
        <v>5.3</v>
      </c>
      <c r="K91" s="241">
        <v>5.7</v>
      </c>
      <c r="L91" s="242">
        <v>5.9</v>
      </c>
      <c r="M91" s="243">
        <v>6.3</v>
      </c>
      <c r="N91" s="241">
        <v>8.3000000000000007</v>
      </c>
      <c r="O91" s="242">
        <v>8.8000000000000007</v>
      </c>
      <c r="P91" s="243">
        <v>9.6</v>
      </c>
      <c r="Z91" s="244">
        <f t="shared" si="4"/>
        <v>9.499999999999984</v>
      </c>
      <c r="AA91" s="376">
        <f t="shared" si="5"/>
        <v>4.3850653980184442E-3</v>
      </c>
    </row>
    <row r="92" spans="1:27">
      <c r="A92" s="244">
        <f t="shared" si="3"/>
        <v>9.5999999999999837</v>
      </c>
      <c r="B92" s="241">
        <v>4.2</v>
      </c>
      <c r="C92" s="242">
        <v>4.3</v>
      </c>
      <c r="D92" s="243">
        <v>4.5</v>
      </c>
      <c r="E92" s="241">
        <v>4.4000000000000004</v>
      </c>
      <c r="F92" s="242">
        <v>4.5999999999999996</v>
      </c>
      <c r="G92" s="243">
        <v>4.8</v>
      </c>
      <c r="H92" s="241">
        <v>4.8</v>
      </c>
      <c r="I92" s="242">
        <v>5</v>
      </c>
      <c r="J92" s="243">
        <v>5.3</v>
      </c>
      <c r="K92" s="241">
        <v>5.7</v>
      </c>
      <c r="L92" s="242">
        <v>5.9</v>
      </c>
      <c r="M92" s="243">
        <v>6.3</v>
      </c>
      <c r="N92" s="241">
        <v>8.4</v>
      </c>
      <c r="O92" s="242">
        <v>8.8000000000000007</v>
      </c>
      <c r="P92" s="243">
        <v>9.6</v>
      </c>
      <c r="Z92" s="244">
        <f t="shared" si="4"/>
        <v>9.5999999999999837</v>
      </c>
      <c r="AA92" s="376">
        <f t="shared" si="5"/>
        <v>4.2605934798946128E-3</v>
      </c>
    </row>
    <row r="93" spans="1:27">
      <c r="A93" s="244">
        <f t="shared" si="3"/>
        <v>9.6999999999999833</v>
      </c>
      <c r="B93" s="241">
        <v>4.2</v>
      </c>
      <c r="C93" s="242">
        <v>4.3</v>
      </c>
      <c r="D93" s="243">
        <v>4.5</v>
      </c>
      <c r="E93" s="241">
        <v>4.4000000000000004</v>
      </c>
      <c r="F93" s="242">
        <v>4.5999999999999996</v>
      </c>
      <c r="G93" s="243">
        <v>4.8</v>
      </c>
      <c r="H93" s="241">
        <v>4.8</v>
      </c>
      <c r="I93" s="242">
        <v>5</v>
      </c>
      <c r="J93" s="243">
        <v>5.3</v>
      </c>
      <c r="K93" s="241">
        <v>5.7</v>
      </c>
      <c r="L93" s="242">
        <v>5.9</v>
      </c>
      <c r="M93" s="243">
        <v>6.3</v>
      </c>
      <c r="N93" s="241">
        <v>8.4</v>
      </c>
      <c r="O93" s="242">
        <v>8.9</v>
      </c>
      <c r="P93" s="243">
        <v>9.6999999999999993</v>
      </c>
      <c r="Z93" s="244">
        <f t="shared" si="4"/>
        <v>9.6999999999999833</v>
      </c>
      <c r="AA93" s="376">
        <f t="shared" si="5"/>
        <v>4.140890249201965E-3</v>
      </c>
    </row>
    <row r="94" spans="1:27">
      <c r="A94" s="244">
        <f t="shared" si="3"/>
        <v>9.7999999999999829</v>
      </c>
      <c r="B94" s="241">
        <v>4.2</v>
      </c>
      <c r="C94" s="242">
        <v>4.3</v>
      </c>
      <c r="D94" s="243">
        <v>4.5</v>
      </c>
      <c r="E94" s="241">
        <v>4.4000000000000004</v>
      </c>
      <c r="F94" s="242">
        <v>4.5999999999999996</v>
      </c>
      <c r="G94" s="243">
        <v>4.8</v>
      </c>
      <c r="H94" s="241">
        <v>4.8</v>
      </c>
      <c r="I94" s="242">
        <v>5</v>
      </c>
      <c r="J94" s="243">
        <v>5.3</v>
      </c>
      <c r="K94" s="241">
        <v>5.7</v>
      </c>
      <c r="L94" s="242">
        <v>5.9</v>
      </c>
      <c r="M94" s="243">
        <v>6.4</v>
      </c>
      <c r="N94" s="241">
        <v>8.4</v>
      </c>
      <c r="O94" s="242">
        <v>8.9</v>
      </c>
      <c r="P94" s="243">
        <v>9.6999999999999993</v>
      </c>
      <c r="Z94" s="244">
        <f t="shared" si="4"/>
        <v>9.7999999999999829</v>
      </c>
      <c r="AA94" s="376">
        <f t="shared" si="5"/>
        <v>4.0257266361593633E-3</v>
      </c>
    </row>
    <row r="95" spans="1:27">
      <c r="A95" s="244">
        <f t="shared" si="3"/>
        <v>9.8999999999999826</v>
      </c>
      <c r="B95" s="241">
        <v>4.2</v>
      </c>
      <c r="C95" s="242">
        <v>4.3</v>
      </c>
      <c r="D95" s="243">
        <v>4.5999999999999996</v>
      </c>
      <c r="E95" s="241">
        <v>4.4000000000000004</v>
      </c>
      <c r="F95" s="242">
        <v>4.5999999999999996</v>
      </c>
      <c r="G95" s="243">
        <v>4.8</v>
      </c>
      <c r="H95" s="241">
        <v>4.8</v>
      </c>
      <c r="I95" s="242">
        <v>5</v>
      </c>
      <c r="J95" s="243">
        <v>5.3</v>
      </c>
      <c r="K95" s="241">
        <v>5.7</v>
      </c>
      <c r="L95" s="242">
        <v>6</v>
      </c>
      <c r="M95" s="243">
        <v>6.4</v>
      </c>
      <c r="N95" s="241">
        <v>8.4</v>
      </c>
      <c r="O95" s="242">
        <v>8.9</v>
      </c>
      <c r="P95" s="243">
        <v>9.8000000000000007</v>
      </c>
      <c r="Z95" s="244">
        <f t="shared" si="4"/>
        <v>9.8999999999999826</v>
      </c>
      <c r="AA95" s="376">
        <f t="shared" si="5"/>
        <v>3.9148867576429894E-3</v>
      </c>
    </row>
    <row r="96" spans="1:27">
      <c r="A96" s="244">
        <f t="shared" si="3"/>
        <v>9.9999999999999822</v>
      </c>
      <c r="B96" s="241">
        <v>4.2</v>
      </c>
      <c r="C96" s="242">
        <v>4.3</v>
      </c>
      <c r="D96" s="243">
        <v>4.5999999999999996</v>
      </c>
      <c r="E96" s="241">
        <v>4.4000000000000004</v>
      </c>
      <c r="F96" s="242">
        <v>4.5999999999999996</v>
      </c>
      <c r="G96" s="243">
        <v>4.9000000000000004</v>
      </c>
      <c r="H96" s="241">
        <v>4.8</v>
      </c>
      <c r="I96" s="242">
        <v>5</v>
      </c>
      <c r="J96" s="243">
        <v>5.3</v>
      </c>
      <c r="K96" s="241">
        <v>5.7</v>
      </c>
      <c r="L96" s="242">
        <v>6</v>
      </c>
      <c r="M96" s="243">
        <v>6.4</v>
      </c>
      <c r="N96" s="241">
        <v>8.4</v>
      </c>
      <c r="O96" s="242">
        <v>9</v>
      </c>
      <c r="P96" s="243">
        <v>9.8000000000000007</v>
      </c>
      <c r="Z96" s="244">
        <f t="shared" si="4"/>
        <v>9.9999999999999822</v>
      </c>
      <c r="AA96" s="376">
        <f t="shared" si="5"/>
        <v>3.8081670349092013E-3</v>
      </c>
    </row>
    <row r="97" spans="1:27">
      <c r="A97" s="244">
        <f t="shared" si="3"/>
        <v>10.099999999999982</v>
      </c>
      <c r="B97" s="241">
        <v>4.2</v>
      </c>
      <c r="C97" s="242">
        <v>4.4000000000000004</v>
      </c>
      <c r="D97" s="243">
        <v>4.5999999999999996</v>
      </c>
      <c r="E97" s="241">
        <v>4.4000000000000004</v>
      </c>
      <c r="F97" s="242">
        <v>4.5999999999999996</v>
      </c>
      <c r="G97" s="243">
        <v>4.9000000000000004</v>
      </c>
      <c r="H97" s="241">
        <v>4.8</v>
      </c>
      <c r="I97" s="242">
        <v>5</v>
      </c>
      <c r="J97" s="243">
        <v>5.4</v>
      </c>
      <c r="K97" s="241">
        <v>5.7</v>
      </c>
      <c r="L97" s="242">
        <v>6</v>
      </c>
      <c r="M97" s="243">
        <v>6.5</v>
      </c>
      <c r="N97" s="241">
        <v>8.4</v>
      </c>
      <c r="O97" s="242">
        <v>9</v>
      </c>
      <c r="P97" s="243">
        <v>9.9</v>
      </c>
      <c r="Z97" s="244">
        <f t="shared" si="4"/>
        <v>10.099999999999982</v>
      </c>
      <c r="AA97" s="376">
        <f t="shared" si="5"/>
        <v>3.705375378426818E-3</v>
      </c>
    </row>
    <row r="98" spans="1:27">
      <c r="A98" s="244">
        <f t="shared" si="3"/>
        <v>10.199999999999982</v>
      </c>
      <c r="B98" s="241">
        <v>4.2</v>
      </c>
      <c r="C98" s="242">
        <v>4.4000000000000004</v>
      </c>
      <c r="D98" s="243">
        <v>4.5999999999999996</v>
      </c>
      <c r="E98" s="241">
        <v>4.4000000000000004</v>
      </c>
      <c r="F98" s="242">
        <v>4.5999999999999996</v>
      </c>
      <c r="G98" s="243">
        <v>4.9000000000000004</v>
      </c>
      <c r="H98" s="241">
        <v>4.8</v>
      </c>
      <c r="I98" s="242">
        <v>5</v>
      </c>
      <c r="J98" s="243">
        <v>5.4</v>
      </c>
      <c r="K98" s="241">
        <v>5.7</v>
      </c>
      <c r="L98" s="242">
        <v>6</v>
      </c>
      <c r="M98" s="243">
        <v>6.5</v>
      </c>
      <c r="N98" s="241">
        <v>8.5</v>
      </c>
      <c r="O98" s="242">
        <v>9</v>
      </c>
      <c r="P98" s="243">
        <v>9.9</v>
      </c>
      <c r="Z98" s="244">
        <f t="shared" si="4"/>
        <v>10.199999999999982</v>
      </c>
      <c r="AA98" s="376">
        <f t="shared" si="5"/>
        <v>3.6063304341116781E-3</v>
      </c>
    </row>
    <row r="99" spans="1:27">
      <c r="A99" s="244">
        <f t="shared" si="3"/>
        <v>10.299999999999981</v>
      </c>
      <c r="B99" s="241">
        <v>4.2</v>
      </c>
      <c r="C99" s="242">
        <v>4.4000000000000004</v>
      </c>
      <c r="D99" s="243">
        <v>4.5999999999999996</v>
      </c>
      <c r="E99" s="241">
        <v>4.4000000000000004</v>
      </c>
      <c r="F99" s="242">
        <v>4.5999999999999996</v>
      </c>
      <c r="G99" s="243">
        <v>4.9000000000000004</v>
      </c>
      <c r="H99" s="241">
        <v>4.8</v>
      </c>
      <c r="I99" s="242">
        <v>5.0999999999999996</v>
      </c>
      <c r="J99" s="243">
        <v>5.4</v>
      </c>
      <c r="K99" s="241">
        <v>5.7</v>
      </c>
      <c r="L99" s="242">
        <v>6</v>
      </c>
      <c r="M99" s="243">
        <v>6.5</v>
      </c>
      <c r="N99" s="241">
        <v>8.5</v>
      </c>
      <c r="O99" s="242">
        <v>9</v>
      </c>
      <c r="P99" s="243">
        <v>10</v>
      </c>
      <c r="Z99" s="244">
        <f t="shared" si="4"/>
        <v>10.299999999999981</v>
      </c>
      <c r="AA99" s="376">
        <f t="shared" si="5"/>
        <v>3.5108608857918936E-3</v>
      </c>
    </row>
    <row r="100" spans="1:27">
      <c r="A100" s="244">
        <f t="shared" si="3"/>
        <v>10.399999999999981</v>
      </c>
      <c r="B100" s="241">
        <v>4.2</v>
      </c>
      <c r="C100" s="242">
        <v>4.4000000000000004</v>
      </c>
      <c r="D100" s="243">
        <v>4.5999999999999996</v>
      </c>
      <c r="E100" s="241">
        <v>4.5</v>
      </c>
      <c r="F100" s="242">
        <v>4.5999999999999996</v>
      </c>
      <c r="G100" s="243">
        <v>4.9000000000000004</v>
      </c>
      <c r="H100" s="241">
        <v>4.8</v>
      </c>
      <c r="I100" s="242">
        <v>5.0999999999999996</v>
      </c>
      <c r="J100" s="243">
        <v>5.4</v>
      </c>
      <c r="K100" s="241">
        <v>5.7</v>
      </c>
      <c r="L100" s="242">
        <v>6</v>
      </c>
      <c r="M100" s="243">
        <v>6.5</v>
      </c>
      <c r="N100" s="241">
        <v>8.5</v>
      </c>
      <c r="O100" s="242">
        <v>9.1</v>
      </c>
      <c r="P100" s="243">
        <v>10</v>
      </c>
      <c r="Z100" s="244">
        <f t="shared" si="4"/>
        <v>10.399999999999981</v>
      </c>
      <c r="AA100" s="376">
        <f t="shared" si="5"/>
        <v>3.4188048092129737E-3</v>
      </c>
    </row>
    <row r="101" spans="1:27">
      <c r="A101" s="244">
        <f t="shared" si="3"/>
        <v>10.49999999999998</v>
      </c>
      <c r="B101" s="241">
        <v>4.2</v>
      </c>
      <c r="C101" s="242">
        <v>4.4000000000000004</v>
      </c>
      <c r="D101" s="243">
        <v>4.5999999999999996</v>
      </c>
      <c r="E101" s="241">
        <v>4.5</v>
      </c>
      <c r="F101" s="242">
        <v>4.5999999999999996</v>
      </c>
      <c r="G101" s="243">
        <v>4.9000000000000004</v>
      </c>
      <c r="H101" s="241">
        <v>4.9000000000000004</v>
      </c>
      <c r="I101" s="242">
        <v>5.0999999999999996</v>
      </c>
      <c r="J101" s="243">
        <v>5.4</v>
      </c>
      <c r="K101" s="241">
        <v>5.7</v>
      </c>
      <c r="L101" s="242">
        <v>6.1</v>
      </c>
      <c r="M101" s="243">
        <v>6.6</v>
      </c>
      <c r="N101" s="241">
        <v>8.5</v>
      </c>
      <c r="O101" s="242">
        <v>9.1</v>
      </c>
      <c r="P101" s="243">
        <v>10.1</v>
      </c>
      <c r="Z101" s="244">
        <f t="shared" si="4"/>
        <v>10.49999999999998</v>
      </c>
      <c r="AA101" s="376">
        <f t="shared" si="5"/>
        <v>3.3300090733238722E-3</v>
      </c>
    </row>
    <row r="102" spans="1:27">
      <c r="A102" s="244">
        <f t="shared" si="3"/>
        <v>10.59999999999998</v>
      </c>
      <c r="B102" s="241">
        <v>4.2</v>
      </c>
      <c r="C102" s="242">
        <v>4.4000000000000004</v>
      </c>
      <c r="D102" s="243">
        <v>4.7</v>
      </c>
      <c r="E102" s="241">
        <v>4.5</v>
      </c>
      <c r="F102" s="242">
        <v>4.7</v>
      </c>
      <c r="G102" s="243">
        <v>5</v>
      </c>
      <c r="H102" s="241">
        <v>4.9000000000000004</v>
      </c>
      <c r="I102" s="242">
        <v>5.0999999999999996</v>
      </c>
      <c r="J102" s="243">
        <v>5.5</v>
      </c>
      <c r="K102" s="241">
        <v>5.7</v>
      </c>
      <c r="L102" s="242">
        <v>6.1</v>
      </c>
      <c r="M102" s="243">
        <v>6.6</v>
      </c>
      <c r="N102" s="241">
        <v>8.5</v>
      </c>
      <c r="O102" s="242">
        <v>9.1</v>
      </c>
      <c r="P102" s="243">
        <v>10.1</v>
      </c>
      <c r="Z102" s="244">
        <f t="shared" si="4"/>
        <v>10.59999999999998</v>
      </c>
      <c r="AA102" s="376">
        <f t="shared" si="5"/>
        <v>3.2443287849735162E-3</v>
      </c>
    </row>
    <row r="103" spans="1:27">
      <c r="A103" s="244">
        <f t="shared" si="3"/>
        <v>10.69999999999998</v>
      </c>
      <c r="B103" s="241">
        <v>4.2</v>
      </c>
      <c r="C103" s="242">
        <v>4.4000000000000004</v>
      </c>
      <c r="D103" s="243">
        <v>4.7</v>
      </c>
      <c r="E103" s="241">
        <v>4.5</v>
      </c>
      <c r="F103" s="242">
        <v>4.7</v>
      </c>
      <c r="G103" s="243">
        <v>5</v>
      </c>
      <c r="H103" s="241">
        <v>4.9000000000000004</v>
      </c>
      <c r="I103" s="242">
        <v>5.0999999999999996</v>
      </c>
      <c r="J103" s="243">
        <v>5.5</v>
      </c>
      <c r="K103" s="241">
        <v>5.8</v>
      </c>
      <c r="L103" s="242">
        <v>6.1</v>
      </c>
      <c r="M103" s="243">
        <v>6.6</v>
      </c>
      <c r="N103" s="241">
        <v>8.5</v>
      </c>
      <c r="O103" s="242">
        <v>9.1999999999999993</v>
      </c>
      <c r="P103" s="243">
        <v>10.199999999999999</v>
      </c>
      <c r="Z103" s="244">
        <f t="shared" si="4"/>
        <v>10.69999999999998</v>
      </c>
      <c r="AA103" s="376">
        <f t="shared" si="5"/>
        <v>3.1616267734971538E-3</v>
      </c>
    </row>
    <row r="104" spans="1:27">
      <c r="A104" s="244">
        <f t="shared" si="3"/>
        <v>10.799999999999979</v>
      </c>
      <c r="B104" s="241">
        <v>4.2</v>
      </c>
      <c r="C104" s="242">
        <v>4.4000000000000004</v>
      </c>
      <c r="D104" s="243">
        <v>4.7</v>
      </c>
      <c r="E104" s="241">
        <v>4.5</v>
      </c>
      <c r="F104" s="242">
        <v>4.7</v>
      </c>
      <c r="G104" s="243">
        <v>5</v>
      </c>
      <c r="H104" s="241">
        <v>4.9000000000000004</v>
      </c>
      <c r="I104" s="242">
        <v>5.0999999999999996</v>
      </c>
      <c r="J104" s="243">
        <v>5.5</v>
      </c>
      <c r="K104" s="241">
        <v>5.8</v>
      </c>
      <c r="L104" s="242">
        <v>6.1</v>
      </c>
      <c r="M104" s="243">
        <v>6.7</v>
      </c>
      <c r="N104" s="241">
        <v>8.5</v>
      </c>
      <c r="O104" s="242">
        <v>9.1999999999999993</v>
      </c>
      <c r="P104" s="243">
        <v>10.3</v>
      </c>
      <c r="Z104" s="244">
        <f t="shared" si="4"/>
        <v>10.799999999999979</v>
      </c>
      <c r="AA104" s="376">
        <f t="shared" si="5"/>
        <v>3.0817731119870311E-3</v>
      </c>
    </row>
    <row r="105" spans="1:27">
      <c r="A105" s="244">
        <f t="shared" si="3"/>
        <v>10.899999999999979</v>
      </c>
      <c r="B105" s="241">
        <v>4.2</v>
      </c>
      <c r="C105" s="242">
        <v>4.4000000000000004</v>
      </c>
      <c r="D105" s="243">
        <v>4.7</v>
      </c>
      <c r="E105" s="241">
        <v>4.5</v>
      </c>
      <c r="F105" s="242">
        <v>4.7</v>
      </c>
      <c r="G105" s="243">
        <v>5</v>
      </c>
      <c r="H105" s="241">
        <v>4.9000000000000004</v>
      </c>
      <c r="I105" s="242">
        <v>5.0999999999999996</v>
      </c>
      <c r="J105" s="243">
        <v>5.5</v>
      </c>
      <c r="K105" s="241">
        <v>5.8</v>
      </c>
      <c r="L105" s="242">
        <v>6.1</v>
      </c>
      <c r="M105" s="243">
        <v>6.7</v>
      </c>
      <c r="N105" s="241">
        <v>8.6</v>
      </c>
      <c r="O105" s="242">
        <v>9.1999999999999993</v>
      </c>
      <c r="P105" s="243">
        <v>10.3</v>
      </c>
      <c r="Z105" s="244">
        <f t="shared" si="4"/>
        <v>10.899999999999979</v>
      </c>
      <c r="AA105" s="376">
        <f t="shared" si="5"/>
        <v>3.0046446723264249E-3</v>
      </c>
    </row>
    <row r="106" spans="1:27">
      <c r="A106" s="244">
        <f t="shared" si="3"/>
        <v>10.999999999999979</v>
      </c>
      <c r="B106" s="241">
        <v>4.2</v>
      </c>
      <c r="C106" s="242">
        <v>4.4000000000000004</v>
      </c>
      <c r="D106" s="243">
        <v>4.7</v>
      </c>
      <c r="E106" s="241">
        <v>4.5</v>
      </c>
      <c r="F106" s="242">
        <v>4.7</v>
      </c>
      <c r="G106" s="243">
        <v>5</v>
      </c>
      <c r="H106" s="241">
        <v>4.9000000000000004</v>
      </c>
      <c r="I106" s="242">
        <v>5.0999999999999996</v>
      </c>
      <c r="J106" s="243">
        <v>5.6</v>
      </c>
      <c r="K106" s="241">
        <v>5.8</v>
      </c>
      <c r="L106" s="242">
        <v>6.1</v>
      </c>
      <c r="M106" s="243">
        <v>6.7</v>
      </c>
      <c r="N106" s="241">
        <v>8.6</v>
      </c>
      <c r="O106" s="242">
        <v>9.3000000000000007</v>
      </c>
      <c r="P106" s="243">
        <v>10.4</v>
      </c>
      <c r="Z106" s="244">
        <f t="shared" si="4"/>
        <v>10.999999999999979</v>
      </c>
      <c r="AA106" s="376">
        <f t="shared" si="5"/>
        <v>2.930124711322792E-3</v>
      </c>
    </row>
    <row r="107" spans="1:27">
      <c r="A107" s="244">
        <f t="shared" si="3"/>
        <v>11.099999999999978</v>
      </c>
      <c r="B107" s="241">
        <v>4.3</v>
      </c>
      <c r="C107" s="242">
        <v>4.4000000000000004</v>
      </c>
      <c r="D107" s="243">
        <v>4.7</v>
      </c>
      <c r="E107" s="241">
        <v>4.5</v>
      </c>
      <c r="F107" s="242">
        <v>4.7</v>
      </c>
      <c r="G107" s="243">
        <v>5</v>
      </c>
      <c r="H107" s="241">
        <v>4.9000000000000004</v>
      </c>
      <c r="I107" s="242">
        <v>5.2</v>
      </c>
      <c r="J107" s="243">
        <v>5.6</v>
      </c>
      <c r="K107" s="241">
        <v>5.8</v>
      </c>
      <c r="L107" s="242">
        <v>6.2</v>
      </c>
      <c r="M107" s="243">
        <v>6.8</v>
      </c>
      <c r="N107" s="241">
        <v>8.6</v>
      </c>
      <c r="O107" s="242">
        <v>9.3000000000000007</v>
      </c>
      <c r="P107" s="243">
        <v>10.4</v>
      </c>
      <c r="Z107" s="244">
        <f t="shared" si="4"/>
        <v>11.099999999999978</v>
      </c>
      <c r="AA107" s="376">
        <f t="shared" si="5"/>
        <v>2.858102485507984E-3</v>
      </c>
    </row>
    <row r="108" spans="1:27">
      <c r="A108" s="244">
        <f t="shared" si="3"/>
        <v>11.199999999999978</v>
      </c>
      <c r="B108" s="241">
        <v>4.3</v>
      </c>
      <c r="C108" s="242">
        <v>4.5</v>
      </c>
      <c r="D108" s="243">
        <v>4.8</v>
      </c>
      <c r="E108" s="241">
        <v>4.5</v>
      </c>
      <c r="F108" s="242">
        <v>4.7</v>
      </c>
      <c r="G108" s="243">
        <v>5.0999999999999996</v>
      </c>
      <c r="H108" s="241">
        <v>4.9000000000000004</v>
      </c>
      <c r="I108" s="242">
        <v>5.2</v>
      </c>
      <c r="J108" s="243">
        <v>5.6</v>
      </c>
      <c r="K108" s="241">
        <v>5.8</v>
      </c>
      <c r="L108" s="242">
        <v>6.2</v>
      </c>
      <c r="M108" s="243">
        <v>6.8</v>
      </c>
      <c r="N108" s="241">
        <v>8.6</v>
      </c>
      <c r="O108" s="242">
        <v>9.4</v>
      </c>
      <c r="P108" s="243">
        <v>10.5</v>
      </c>
      <c r="Z108" s="244">
        <f t="shared" si="4"/>
        <v>11.199999999999978</v>
      </c>
      <c r="AA108" s="376">
        <f t="shared" si="5"/>
        <v>2.78847289238356E-3</v>
      </c>
    </row>
    <row r="109" spans="1:27">
      <c r="A109" s="244">
        <f t="shared" si="3"/>
        <v>11.299999999999978</v>
      </c>
      <c r="B109" s="241">
        <v>4.3</v>
      </c>
      <c r="C109" s="242">
        <v>4.5</v>
      </c>
      <c r="D109" s="243">
        <v>4.8</v>
      </c>
      <c r="E109" s="241">
        <v>4.5</v>
      </c>
      <c r="F109" s="242">
        <v>4.7</v>
      </c>
      <c r="G109" s="243">
        <v>5.0999999999999996</v>
      </c>
      <c r="H109" s="241">
        <v>4.9000000000000004</v>
      </c>
      <c r="I109" s="242">
        <v>5.2</v>
      </c>
      <c r="J109" s="243">
        <v>5.6</v>
      </c>
      <c r="K109" s="241">
        <v>5.8</v>
      </c>
      <c r="L109" s="242">
        <v>6.2</v>
      </c>
      <c r="M109" s="243">
        <v>6.8</v>
      </c>
      <c r="N109" s="241">
        <v>8.6</v>
      </c>
      <c r="O109" s="242">
        <v>9.4</v>
      </c>
      <c r="P109" s="243">
        <v>10.6</v>
      </c>
      <c r="Z109" s="244">
        <f t="shared" si="4"/>
        <v>11.299999999999978</v>
      </c>
      <c r="AA109" s="376">
        <f t="shared" si="5"/>
        <v>2.7211361360794007E-3</v>
      </c>
    </row>
    <row r="110" spans="1:27">
      <c r="A110" s="244">
        <f t="shared" si="3"/>
        <v>11.399999999999977</v>
      </c>
      <c r="B110" s="241">
        <v>4.3</v>
      </c>
      <c r="C110" s="242">
        <v>4.5</v>
      </c>
      <c r="D110" s="243">
        <v>4.8</v>
      </c>
      <c r="E110" s="241">
        <v>4.5</v>
      </c>
      <c r="F110" s="242">
        <v>4.7</v>
      </c>
      <c r="G110" s="243">
        <v>5.0999999999999996</v>
      </c>
      <c r="H110" s="241">
        <v>4.9000000000000004</v>
      </c>
      <c r="I110" s="242">
        <v>5.2</v>
      </c>
      <c r="J110" s="243">
        <v>5.6</v>
      </c>
      <c r="K110" s="241">
        <v>5.8</v>
      </c>
      <c r="L110" s="242">
        <v>6.2</v>
      </c>
      <c r="M110" s="243">
        <v>6.9</v>
      </c>
      <c r="N110" s="241">
        <v>8.6999999999999993</v>
      </c>
      <c r="O110" s="242">
        <v>9.4</v>
      </c>
      <c r="P110" s="243">
        <v>10.6</v>
      </c>
      <c r="Z110" s="244">
        <f t="shared" si="4"/>
        <v>11.399999999999977</v>
      </c>
      <c r="AA110" s="376">
        <f t="shared" si="5"/>
        <v>2.655997415566283E-3</v>
      </c>
    </row>
    <row r="111" spans="1:27">
      <c r="A111" s="244">
        <f t="shared" si="3"/>
        <v>11.499999999999977</v>
      </c>
      <c r="B111" s="241">
        <v>4.3</v>
      </c>
      <c r="C111" s="242">
        <v>4.5</v>
      </c>
      <c r="D111" s="243">
        <v>4.8</v>
      </c>
      <c r="E111" s="241">
        <v>4.5</v>
      </c>
      <c r="F111" s="242">
        <v>4.8</v>
      </c>
      <c r="G111" s="243">
        <v>5.0999999999999996</v>
      </c>
      <c r="H111" s="241">
        <v>4.9000000000000004</v>
      </c>
      <c r="I111" s="242">
        <v>5.2</v>
      </c>
      <c r="J111" s="243">
        <v>5.7</v>
      </c>
      <c r="K111" s="241">
        <v>5.8</v>
      </c>
      <c r="L111" s="242">
        <v>6.2</v>
      </c>
      <c r="M111" s="243">
        <v>6.9</v>
      </c>
      <c r="N111" s="241">
        <v>8.6999999999999993</v>
      </c>
      <c r="O111" s="242">
        <v>9.5</v>
      </c>
      <c r="P111" s="243">
        <v>10.7</v>
      </c>
      <c r="Z111" s="244">
        <f t="shared" si="4"/>
        <v>11.499999999999977</v>
      </c>
      <c r="AA111" s="376">
        <f t="shared" si="5"/>
        <v>2.5929666337195056E-3</v>
      </c>
    </row>
    <row r="112" spans="1:27">
      <c r="A112" s="244">
        <f t="shared" si="3"/>
        <v>11.599999999999977</v>
      </c>
      <c r="B112" s="241">
        <v>4.3</v>
      </c>
      <c r="C112" s="242">
        <v>4.5</v>
      </c>
      <c r="D112" s="243">
        <v>4.8</v>
      </c>
      <c r="E112" s="241">
        <v>4.5</v>
      </c>
      <c r="F112" s="242">
        <v>4.8</v>
      </c>
      <c r="G112" s="243">
        <v>5.0999999999999996</v>
      </c>
      <c r="H112" s="241">
        <v>4.9000000000000004</v>
      </c>
      <c r="I112" s="242">
        <v>5.2</v>
      </c>
      <c r="J112" s="243">
        <v>5.7</v>
      </c>
      <c r="K112" s="241">
        <v>5.8</v>
      </c>
      <c r="L112" s="242">
        <v>6.3</v>
      </c>
      <c r="M112" s="243">
        <v>6.9</v>
      </c>
      <c r="N112" s="241">
        <v>8.6999999999999993</v>
      </c>
      <c r="O112" s="242">
        <v>9.5</v>
      </c>
      <c r="P112" s="243">
        <v>10.8</v>
      </c>
      <c r="Z112" s="244">
        <f t="shared" si="4"/>
        <v>11.599999999999977</v>
      </c>
      <c r="AA112" s="376">
        <f t="shared" si="5"/>
        <v>2.5319581256726831E-3</v>
      </c>
    </row>
    <row r="113" spans="1:27">
      <c r="A113" s="244">
        <f t="shared" si="3"/>
        <v>11.699999999999976</v>
      </c>
      <c r="B113" s="241">
        <v>4.3</v>
      </c>
      <c r="C113" s="242">
        <v>4.5</v>
      </c>
      <c r="D113" s="243">
        <v>4.8</v>
      </c>
      <c r="E113" s="241">
        <v>4.5</v>
      </c>
      <c r="F113" s="242">
        <v>4.8</v>
      </c>
      <c r="G113" s="243">
        <v>5.2</v>
      </c>
      <c r="H113" s="241">
        <v>4.9000000000000004</v>
      </c>
      <c r="I113" s="242">
        <v>5.2</v>
      </c>
      <c r="J113" s="243">
        <v>5.7</v>
      </c>
      <c r="K113" s="241">
        <v>5.8</v>
      </c>
      <c r="L113" s="242">
        <v>6.3</v>
      </c>
      <c r="M113" s="243">
        <v>7</v>
      </c>
      <c r="N113" s="241">
        <v>8.6999999999999993</v>
      </c>
      <c r="O113" s="242">
        <v>9.6</v>
      </c>
      <c r="P113" s="243">
        <v>10.8</v>
      </c>
      <c r="Z113" s="244">
        <f t="shared" si="4"/>
        <v>11.699999999999976</v>
      </c>
      <c r="AA113" s="376">
        <f t="shared" si="5"/>
        <v>2.4728904050299364E-3</v>
      </c>
    </row>
    <row r="114" spans="1:27">
      <c r="A114" s="244">
        <f t="shared" si="3"/>
        <v>11.799999999999976</v>
      </c>
      <c r="B114" s="241">
        <v>4.3</v>
      </c>
      <c r="C114" s="242">
        <v>4.5</v>
      </c>
      <c r="D114" s="243">
        <v>4.9000000000000004</v>
      </c>
      <c r="E114" s="241">
        <v>4.5</v>
      </c>
      <c r="F114" s="242">
        <v>4.8</v>
      </c>
      <c r="G114" s="243">
        <v>5.2</v>
      </c>
      <c r="H114" s="241">
        <v>4.9000000000000004</v>
      </c>
      <c r="I114" s="242">
        <v>5.3</v>
      </c>
      <c r="J114" s="243">
        <v>5.7</v>
      </c>
      <c r="K114" s="241">
        <v>5.9</v>
      </c>
      <c r="L114" s="242">
        <v>6.3</v>
      </c>
      <c r="M114" s="243">
        <v>7</v>
      </c>
      <c r="N114" s="241">
        <v>8.6999999999999993</v>
      </c>
      <c r="O114" s="242">
        <v>9.6</v>
      </c>
      <c r="P114" s="243">
        <v>10.9</v>
      </c>
      <c r="Z114" s="244">
        <f t="shared" si="4"/>
        <v>11.799999999999976</v>
      </c>
      <c r="AA114" s="376">
        <f t="shared" si="5"/>
        <v>2.4156859266221179E-3</v>
      </c>
    </row>
    <row r="115" spans="1:27">
      <c r="A115" s="244">
        <f t="shared" si="3"/>
        <v>11.899999999999975</v>
      </c>
      <c r="B115" s="241">
        <v>4.3</v>
      </c>
      <c r="C115" s="242">
        <v>4.5</v>
      </c>
      <c r="D115" s="243">
        <v>4.9000000000000004</v>
      </c>
      <c r="E115" s="241">
        <v>4.5</v>
      </c>
      <c r="F115" s="242">
        <v>4.8</v>
      </c>
      <c r="G115" s="243">
        <v>5.2</v>
      </c>
      <c r="H115" s="241">
        <v>4.9000000000000004</v>
      </c>
      <c r="I115" s="242">
        <v>5.3</v>
      </c>
      <c r="J115" s="243">
        <v>5.8</v>
      </c>
      <c r="K115" s="241">
        <v>5.9</v>
      </c>
      <c r="L115" s="242">
        <v>6.3</v>
      </c>
      <c r="M115" s="243">
        <v>7</v>
      </c>
      <c r="N115" s="241">
        <v>8.6999999999999993</v>
      </c>
      <c r="O115" s="242">
        <v>9.6</v>
      </c>
      <c r="P115" s="243">
        <v>11</v>
      </c>
      <c r="Z115" s="244">
        <f t="shared" si="4"/>
        <v>11.899999999999975</v>
      </c>
      <c r="AA115" s="376">
        <f t="shared" si="5"/>
        <v>2.3602708645995949E-3</v>
      </c>
    </row>
    <row r="116" spans="1:27">
      <c r="A116" s="244">
        <f t="shared" si="3"/>
        <v>11.999999999999975</v>
      </c>
      <c r="B116" s="241">
        <v>4.3</v>
      </c>
      <c r="C116" s="242">
        <v>4.5</v>
      </c>
      <c r="D116" s="243">
        <v>4.9000000000000004</v>
      </c>
      <c r="E116" s="241">
        <v>4.5</v>
      </c>
      <c r="F116" s="242">
        <v>4.8</v>
      </c>
      <c r="G116" s="243">
        <v>5.2</v>
      </c>
      <c r="H116" s="241">
        <v>5</v>
      </c>
      <c r="I116" s="242">
        <v>5.3</v>
      </c>
      <c r="J116" s="243">
        <v>5.8</v>
      </c>
      <c r="K116" s="241">
        <v>5.9</v>
      </c>
      <c r="L116" s="242">
        <v>6.4</v>
      </c>
      <c r="M116" s="243">
        <v>7.1</v>
      </c>
      <c r="N116" s="241">
        <v>8.8000000000000007</v>
      </c>
      <c r="O116" s="242">
        <v>9.6999999999999993</v>
      </c>
      <c r="P116" s="243">
        <v>11.1</v>
      </c>
      <c r="Z116" s="244">
        <f t="shared" si="4"/>
        <v>11.999999999999975</v>
      </c>
      <c r="AA116" s="376">
        <f t="shared" si="5"/>
        <v>2.3065749047515129E-3</v>
      </c>
    </row>
    <row r="117" spans="1:27">
      <c r="A117" s="244">
        <f t="shared" si="3"/>
        <v>12.099999999999975</v>
      </c>
      <c r="B117" s="241">
        <v>4.3</v>
      </c>
      <c r="C117" s="242">
        <v>4.5</v>
      </c>
      <c r="D117" s="243">
        <v>4.9000000000000004</v>
      </c>
      <c r="E117" s="241">
        <v>4.5</v>
      </c>
      <c r="F117" s="242">
        <v>4.8</v>
      </c>
      <c r="G117" s="243">
        <v>5.3</v>
      </c>
      <c r="H117" s="241">
        <v>5</v>
      </c>
      <c r="I117" s="242">
        <v>5.3</v>
      </c>
      <c r="J117" s="243">
        <v>5.8</v>
      </c>
      <c r="K117" s="241">
        <v>5.9</v>
      </c>
      <c r="L117" s="242">
        <v>6.4</v>
      </c>
      <c r="M117" s="243">
        <v>7.1</v>
      </c>
      <c r="N117" s="241">
        <v>8.8000000000000007</v>
      </c>
      <c r="O117" s="242">
        <v>9.6999999999999993</v>
      </c>
      <c r="P117" s="243">
        <v>11.1</v>
      </c>
      <c r="Z117" s="244">
        <f t="shared" si="4"/>
        <v>12.099999999999975</v>
      </c>
      <c r="AA117" s="376">
        <f t="shared" si="5"/>
        <v>2.2545310500302631E-3</v>
      </c>
    </row>
    <row r="118" spans="1:27">
      <c r="A118" s="244">
        <f t="shared" si="3"/>
        <v>12.199999999999974</v>
      </c>
      <c r="B118" s="241">
        <v>4.3</v>
      </c>
      <c r="C118" s="242">
        <v>4.5999999999999996</v>
      </c>
      <c r="D118" s="243">
        <v>4.9000000000000004</v>
      </c>
      <c r="E118" s="241">
        <v>4.5999999999999996</v>
      </c>
      <c r="F118" s="242">
        <v>4.8</v>
      </c>
      <c r="G118" s="243">
        <v>5.3</v>
      </c>
      <c r="H118" s="241">
        <v>5</v>
      </c>
      <c r="I118" s="242">
        <v>5.3</v>
      </c>
      <c r="J118" s="243">
        <v>5.9</v>
      </c>
      <c r="K118" s="241">
        <v>5.9</v>
      </c>
      <c r="L118" s="242">
        <v>6.4</v>
      </c>
      <c r="M118" s="243">
        <v>7.2</v>
      </c>
      <c r="N118" s="241">
        <v>8.8000000000000007</v>
      </c>
      <c r="O118" s="242">
        <v>9.8000000000000007</v>
      </c>
      <c r="P118" s="243">
        <v>11.2</v>
      </c>
      <c r="Z118" s="244">
        <f t="shared" si="4"/>
        <v>12.199999999999974</v>
      </c>
      <c r="AA118" s="376">
        <f t="shared" si="5"/>
        <v>2.2040754383408638E-3</v>
      </c>
    </row>
    <row r="119" spans="1:27">
      <c r="A119" s="244">
        <f t="shared" si="3"/>
        <v>12.299999999999974</v>
      </c>
      <c r="B119" s="241">
        <v>4.3</v>
      </c>
      <c r="C119" s="242">
        <v>4.5999999999999996</v>
      </c>
      <c r="D119" s="243">
        <v>5</v>
      </c>
      <c r="E119" s="241">
        <v>4.5999999999999996</v>
      </c>
      <c r="F119" s="242">
        <v>4.9000000000000004</v>
      </c>
      <c r="G119" s="243">
        <v>5.3</v>
      </c>
      <c r="H119" s="241">
        <v>5</v>
      </c>
      <c r="I119" s="242">
        <v>5.3</v>
      </c>
      <c r="J119" s="243">
        <v>5.9</v>
      </c>
      <c r="K119" s="241">
        <v>5.9</v>
      </c>
      <c r="L119" s="242">
        <v>6.4</v>
      </c>
      <c r="M119" s="243">
        <v>7.2</v>
      </c>
      <c r="N119" s="241">
        <v>8.8000000000000007</v>
      </c>
      <c r="O119" s="242">
        <v>9.8000000000000007</v>
      </c>
      <c r="P119" s="243">
        <v>11.3</v>
      </c>
      <c r="Z119" s="244">
        <f t="shared" si="4"/>
        <v>12.299999999999974</v>
      </c>
      <c r="AA119" s="376">
        <f t="shared" si="5"/>
        <v>2.1551471717290382E-3</v>
      </c>
    </row>
    <row r="120" spans="1:27">
      <c r="A120" s="244">
        <f t="shared" si="3"/>
        <v>12.399999999999974</v>
      </c>
      <c r="B120" s="241">
        <v>4.3</v>
      </c>
      <c r="C120" s="242">
        <v>4.5999999999999996</v>
      </c>
      <c r="D120" s="243">
        <v>5</v>
      </c>
      <c r="E120" s="241">
        <v>4.5999999999999996</v>
      </c>
      <c r="F120" s="242">
        <v>4.9000000000000004</v>
      </c>
      <c r="G120" s="243">
        <v>5.3</v>
      </c>
      <c r="H120" s="241">
        <v>5</v>
      </c>
      <c r="I120" s="242">
        <v>5.4</v>
      </c>
      <c r="J120" s="243">
        <v>5.9</v>
      </c>
      <c r="K120" s="241">
        <v>5.9</v>
      </c>
      <c r="L120" s="242">
        <v>6.5</v>
      </c>
      <c r="M120" s="243">
        <v>7.2</v>
      </c>
      <c r="N120" s="241">
        <v>8.8000000000000007</v>
      </c>
      <c r="O120" s="242">
        <v>9.9</v>
      </c>
      <c r="P120" s="243">
        <v>11.4</v>
      </c>
      <c r="Z120" s="244">
        <f t="shared" si="4"/>
        <v>12.399999999999974</v>
      </c>
      <c r="AA120" s="376">
        <f t="shared" si="5"/>
        <v>2.1076881561693239E-3</v>
      </c>
    </row>
    <row r="121" spans="1:27">
      <c r="A121" s="244">
        <f t="shared" si="3"/>
        <v>12.499999999999973</v>
      </c>
      <c r="B121" s="241">
        <v>4.3</v>
      </c>
      <c r="C121" s="242">
        <v>4.5999999999999996</v>
      </c>
      <c r="D121" s="243">
        <v>5</v>
      </c>
      <c r="E121" s="241">
        <v>4.5999999999999996</v>
      </c>
      <c r="F121" s="242">
        <v>4.9000000000000004</v>
      </c>
      <c r="G121" s="243">
        <v>5.4</v>
      </c>
      <c r="H121" s="241">
        <v>5</v>
      </c>
      <c r="I121" s="242">
        <v>5.4</v>
      </c>
      <c r="J121" s="243">
        <v>6</v>
      </c>
      <c r="K121" s="241">
        <v>5.9</v>
      </c>
      <c r="L121" s="242">
        <v>6.5</v>
      </c>
      <c r="M121" s="243">
        <v>7.3</v>
      </c>
      <c r="N121" s="241">
        <v>8.9</v>
      </c>
      <c r="O121" s="242">
        <v>9.9</v>
      </c>
      <c r="P121" s="243">
        <v>11.4</v>
      </c>
      <c r="Z121" s="244">
        <f t="shared" si="4"/>
        <v>12.499999999999973</v>
      </c>
      <c r="AA121" s="376">
        <f t="shared" si="5"/>
        <v>2.0616429512164613E-3</v>
      </c>
    </row>
    <row r="122" spans="1:27">
      <c r="A122" s="244">
        <f t="shared" si="3"/>
        <v>12.599999999999973</v>
      </c>
      <c r="B122" s="241">
        <v>4.3</v>
      </c>
      <c r="C122" s="242">
        <v>4.5999999999999996</v>
      </c>
      <c r="D122" s="243">
        <v>5</v>
      </c>
      <c r="E122" s="241">
        <v>4.5999999999999996</v>
      </c>
      <c r="F122" s="242">
        <v>4.9000000000000004</v>
      </c>
      <c r="G122" s="243">
        <v>5.4</v>
      </c>
      <c r="H122" s="241">
        <v>5</v>
      </c>
      <c r="I122" s="242">
        <v>5.4</v>
      </c>
      <c r="J122" s="243">
        <v>6</v>
      </c>
      <c r="K122" s="241">
        <v>5.9</v>
      </c>
      <c r="L122" s="242">
        <v>6.5</v>
      </c>
      <c r="M122" s="243">
        <v>7.3</v>
      </c>
      <c r="N122" s="241">
        <v>8.9</v>
      </c>
      <c r="O122" s="242">
        <v>10</v>
      </c>
      <c r="P122" s="243">
        <v>11.5</v>
      </c>
      <c r="Z122" s="244">
        <f t="shared" si="4"/>
        <v>12.599999999999973</v>
      </c>
      <c r="AA122" s="376">
        <f t="shared" si="5"/>
        <v>2.0169586288398779E-3</v>
      </c>
    </row>
    <row r="123" spans="1:27">
      <c r="A123" s="244">
        <f t="shared" si="3"/>
        <v>12.699999999999973</v>
      </c>
      <c r="B123" s="241">
        <v>4.3</v>
      </c>
      <c r="C123" s="242">
        <v>4.5999999999999996</v>
      </c>
      <c r="D123" s="243">
        <v>5</v>
      </c>
      <c r="E123" s="241">
        <v>4.5999999999999996</v>
      </c>
      <c r="F123" s="242">
        <v>4.9000000000000004</v>
      </c>
      <c r="G123" s="243">
        <v>5.4</v>
      </c>
      <c r="H123" s="241">
        <v>5</v>
      </c>
      <c r="I123" s="242">
        <v>5.4</v>
      </c>
      <c r="J123" s="243">
        <v>6</v>
      </c>
      <c r="K123" s="241">
        <v>6</v>
      </c>
      <c r="L123" s="242">
        <v>6.5</v>
      </c>
      <c r="M123" s="243">
        <v>7.4</v>
      </c>
      <c r="N123" s="241">
        <v>8.9</v>
      </c>
      <c r="O123" s="242">
        <v>10</v>
      </c>
      <c r="P123" s="243">
        <v>11.6</v>
      </c>
      <c r="Z123" s="244">
        <f t="shared" si="4"/>
        <v>12.699999999999973</v>
      </c>
      <c r="AA123" s="376">
        <f t="shared" si="5"/>
        <v>1.973584640812973E-3</v>
      </c>
    </row>
    <row r="124" spans="1:27">
      <c r="A124" s="244">
        <f t="shared" si="3"/>
        <v>12.799999999999972</v>
      </c>
      <c r="B124" s="241">
        <v>4.3</v>
      </c>
      <c r="C124" s="242">
        <v>4.5999999999999996</v>
      </c>
      <c r="D124" s="243">
        <v>5.0999999999999996</v>
      </c>
      <c r="E124" s="241">
        <v>4.5999999999999996</v>
      </c>
      <c r="F124" s="242">
        <v>4.9000000000000004</v>
      </c>
      <c r="G124" s="243">
        <v>5.4</v>
      </c>
      <c r="H124" s="241">
        <v>5</v>
      </c>
      <c r="I124" s="242">
        <v>5.4</v>
      </c>
      <c r="J124" s="243">
        <v>6</v>
      </c>
      <c r="K124" s="241">
        <v>6</v>
      </c>
      <c r="L124" s="242">
        <v>6.6</v>
      </c>
      <c r="M124" s="243">
        <v>7.4</v>
      </c>
      <c r="N124" s="241">
        <v>8.9</v>
      </c>
      <c r="O124" s="242">
        <v>10.1</v>
      </c>
      <c r="P124" s="243">
        <v>11.7</v>
      </c>
      <c r="Z124" s="244">
        <f t="shared" si="4"/>
        <v>12.799999999999972</v>
      </c>
      <c r="AA124" s="376">
        <f t="shared" si="5"/>
        <v>1.9314726940764227E-3</v>
      </c>
    </row>
    <row r="125" spans="1:27">
      <c r="A125" s="244">
        <f t="shared" si="3"/>
        <v>12.899999999999972</v>
      </c>
      <c r="B125" s="241">
        <v>4.3</v>
      </c>
      <c r="C125" s="242">
        <v>4.7</v>
      </c>
      <c r="D125" s="243">
        <v>5.0999999999999996</v>
      </c>
      <c r="E125" s="241">
        <v>4.5999999999999996</v>
      </c>
      <c r="F125" s="242">
        <v>5</v>
      </c>
      <c r="G125" s="243">
        <v>5.5</v>
      </c>
      <c r="H125" s="241">
        <v>5</v>
      </c>
      <c r="I125" s="242">
        <v>5.5</v>
      </c>
      <c r="J125" s="243">
        <v>6.1</v>
      </c>
      <c r="K125" s="241">
        <v>6</v>
      </c>
      <c r="L125" s="242">
        <v>6.6</v>
      </c>
      <c r="M125" s="243">
        <v>7.5</v>
      </c>
      <c r="N125" s="241">
        <v>9</v>
      </c>
      <c r="O125" s="242">
        <v>10.1</v>
      </c>
      <c r="P125" s="243">
        <v>11.8</v>
      </c>
      <c r="Z125" s="244">
        <f t="shared" si="4"/>
        <v>12.899999999999972</v>
      </c>
      <c r="AA125" s="376">
        <f t="shared" si="5"/>
        <v>1.8905766335383224E-3</v>
      </c>
    </row>
    <row r="126" spans="1:27">
      <c r="A126" s="244">
        <f t="shared" si="3"/>
        <v>12.999999999999972</v>
      </c>
      <c r="B126" s="241">
        <v>4.4000000000000004</v>
      </c>
      <c r="C126" s="242">
        <v>4.7</v>
      </c>
      <c r="D126" s="243">
        <v>5.0999999999999996</v>
      </c>
      <c r="E126" s="241">
        <v>4.5999999999999996</v>
      </c>
      <c r="F126" s="242">
        <v>5</v>
      </c>
      <c r="G126" s="243">
        <v>5.5</v>
      </c>
      <c r="H126" s="241">
        <v>5</v>
      </c>
      <c r="I126" s="242">
        <v>5.5</v>
      </c>
      <c r="J126" s="243">
        <v>6.1</v>
      </c>
      <c r="K126" s="241">
        <v>6</v>
      </c>
      <c r="L126" s="242">
        <v>6.6</v>
      </c>
      <c r="M126" s="243">
        <v>7.5</v>
      </c>
      <c r="N126" s="241">
        <v>9</v>
      </c>
      <c r="O126" s="242">
        <v>10.199999999999999</v>
      </c>
      <c r="P126" s="243">
        <v>11.9</v>
      </c>
      <c r="Z126" s="244">
        <f t="shared" si="4"/>
        <v>12.999999999999972</v>
      </c>
      <c r="AA126" s="376">
        <f t="shared" si="5"/>
        <v>1.8508523318139913E-3</v>
      </c>
    </row>
    <row r="127" spans="1:27">
      <c r="A127" s="244">
        <f t="shared" si="3"/>
        <v>13.099999999999971</v>
      </c>
      <c r="B127" s="241">
        <v>4.4000000000000004</v>
      </c>
      <c r="C127" s="242">
        <v>4.7</v>
      </c>
      <c r="D127" s="243">
        <v>5.0999999999999996</v>
      </c>
      <c r="E127" s="241">
        <v>4.5999999999999996</v>
      </c>
      <c r="F127" s="242">
        <v>5</v>
      </c>
      <c r="G127" s="243">
        <v>5.5</v>
      </c>
      <c r="H127" s="241">
        <v>5</v>
      </c>
      <c r="I127" s="242">
        <v>5.5</v>
      </c>
      <c r="J127" s="243">
        <v>6.2</v>
      </c>
      <c r="K127" s="241">
        <v>6</v>
      </c>
      <c r="L127" s="242">
        <v>6.6</v>
      </c>
      <c r="M127" s="243">
        <v>7.6</v>
      </c>
      <c r="N127" s="241">
        <v>9</v>
      </c>
      <c r="O127" s="242">
        <v>10.199999999999999</v>
      </c>
      <c r="P127" s="243">
        <v>12</v>
      </c>
      <c r="Z127" s="244">
        <f t="shared" si="4"/>
        <v>13.099999999999971</v>
      </c>
      <c r="AA127" s="376">
        <f t="shared" si="5"/>
        <v>1.8122575854450406E-3</v>
      </c>
    </row>
    <row r="128" spans="1:27">
      <c r="A128" s="244">
        <f t="shared" si="3"/>
        <v>13.199999999999971</v>
      </c>
      <c r="B128" s="241">
        <v>4.4000000000000004</v>
      </c>
      <c r="C128" s="242">
        <v>4.7</v>
      </c>
      <c r="D128" s="243">
        <v>5.2</v>
      </c>
      <c r="E128" s="241">
        <v>4.5999999999999996</v>
      </c>
      <c r="F128" s="242">
        <v>5</v>
      </c>
      <c r="G128" s="243">
        <v>5.6</v>
      </c>
      <c r="H128" s="241">
        <v>5</v>
      </c>
      <c r="I128" s="242">
        <v>5.5</v>
      </c>
      <c r="J128" s="243">
        <v>6.2</v>
      </c>
      <c r="K128" s="241">
        <v>6</v>
      </c>
      <c r="L128" s="242">
        <v>6.7</v>
      </c>
      <c r="M128" s="243">
        <v>7.6</v>
      </c>
      <c r="N128" s="241">
        <v>9</v>
      </c>
      <c r="O128" s="242">
        <v>10.3</v>
      </c>
      <c r="P128" s="243">
        <v>12.1</v>
      </c>
      <c r="Z128" s="244">
        <f t="shared" si="4"/>
        <v>13.199999999999971</v>
      </c>
      <c r="AA128" s="376">
        <f t="shared" si="5"/>
        <v>1.7747520171710566E-3</v>
      </c>
    </row>
    <row r="129" spans="1:27">
      <c r="A129" s="244">
        <f t="shared" si="3"/>
        <v>13.299999999999971</v>
      </c>
      <c r="B129" s="241">
        <v>4.4000000000000004</v>
      </c>
      <c r="C129" s="242">
        <v>4.7</v>
      </c>
      <c r="D129" s="243">
        <v>5.2</v>
      </c>
      <c r="E129" s="241">
        <v>4.5999999999999996</v>
      </c>
      <c r="F129" s="242">
        <v>5</v>
      </c>
      <c r="G129" s="243">
        <v>5.6</v>
      </c>
      <c r="H129" s="241">
        <v>5.0999999999999996</v>
      </c>
      <c r="I129" s="242">
        <v>5.5</v>
      </c>
      <c r="J129" s="243">
        <v>6.2</v>
      </c>
      <c r="K129" s="241">
        <v>6</v>
      </c>
      <c r="L129" s="242">
        <v>6.7</v>
      </c>
      <c r="M129" s="243">
        <v>7.7</v>
      </c>
      <c r="N129" s="241">
        <v>9.1</v>
      </c>
      <c r="O129" s="242">
        <v>10.3</v>
      </c>
      <c r="P129" s="243">
        <v>12.2</v>
      </c>
      <c r="Z129" s="244">
        <f t="shared" si="4"/>
        <v>13.299999999999971</v>
      </c>
      <c r="AA129" s="376">
        <f t="shared" si="5"/>
        <v>1.7382969838583544E-3</v>
      </c>
    </row>
    <row r="130" spans="1:27">
      <c r="A130" s="244">
        <f t="shared" si="3"/>
        <v>13.39999999999997</v>
      </c>
      <c r="B130" s="241">
        <v>4.4000000000000004</v>
      </c>
      <c r="C130" s="242">
        <v>4.7</v>
      </c>
      <c r="D130" s="243">
        <v>5.2</v>
      </c>
      <c r="E130" s="241">
        <v>4.5999999999999996</v>
      </c>
      <c r="F130" s="242">
        <v>5</v>
      </c>
      <c r="G130" s="243">
        <v>5.6</v>
      </c>
      <c r="H130" s="241">
        <v>5.0999999999999996</v>
      </c>
      <c r="I130" s="242">
        <v>5.6</v>
      </c>
      <c r="J130" s="243">
        <v>6.3</v>
      </c>
      <c r="K130" s="241">
        <v>6</v>
      </c>
      <c r="L130" s="242">
        <v>6.7</v>
      </c>
      <c r="M130" s="243">
        <v>7.7</v>
      </c>
      <c r="N130" s="241">
        <v>9.1</v>
      </c>
      <c r="O130" s="242">
        <v>10.4</v>
      </c>
      <c r="P130" s="243">
        <v>12.3</v>
      </c>
      <c r="Z130" s="244">
        <f t="shared" si="4"/>
        <v>13.39999999999997</v>
      </c>
      <c r="AA130" s="376">
        <f t="shared" si="5"/>
        <v>1.7028554897188114E-3</v>
      </c>
    </row>
    <row r="131" spans="1:27">
      <c r="A131" s="244">
        <f t="shared" si="3"/>
        <v>13.49999999999997</v>
      </c>
      <c r="B131" s="241">
        <v>4.4000000000000004</v>
      </c>
      <c r="C131" s="242">
        <v>4.7</v>
      </c>
      <c r="D131" s="243">
        <v>5.3</v>
      </c>
      <c r="E131" s="241">
        <v>4.5999999999999996</v>
      </c>
      <c r="F131" s="242">
        <v>5.0999999999999996</v>
      </c>
      <c r="G131" s="243">
        <v>5.6</v>
      </c>
      <c r="H131" s="241">
        <v>5.0999999999999996</v>
      </c>
      <c r="I131" s="242">
        <v>5.6</v>
      </c>
      <c r="J131" s="243">
        <v>6.3</v>
      </c>
      <c r="K131" s="241">
        <v>6.1</v>
      </c>
      <c r="L131" s="242">
        <v>6.8</v>
      </c>
      <c r="M131" s="243">
        <v>7.8</v>
      </c>
      <c r="N131" s="241">
        <v>9.1</v>
      </c>
      <c r="O131" s="242">
        <v>10.4</v>
      </c>
      <c r="P131" s="243">
        <v>12.4</v>
      </c>
      <c r="Z131" s="244">
        <f t="shared" si="4"/>
        <v>13.49999999999997</v>
      </c>
      <c r="AA131" s="376">
        <f t="shared" si="5"/>
        <v>1.6683921044781513E-3</v>
      </c>
    </row>
    <row r="132" spans="1:27">
      <c r="A132" s="244">
        <f t="shared" si="3"/>
        <v>13.599999999999969</v>
      </c>
      <c r="B132" s="241">
        <v>4.4000000000000004</v>
      </c>
      <c r="C132" s="242">
        <v>4.8</v>
      </c>
      <c r="D132" s="243">
        <v>5.3</v>
      </c>
      <c r="E132" s="241">
        <v>4.7</v>
      </c>
      <c r="F132" s="242">
        <v>5.0999999999999996</v>
      </c>
      <c r="G132" s="243">
        <v>5.7</v>
      </c>
      <c r="H132" s="241">
        <v>5.0999999999999996</v>
      </c>
      <c r="I132" s="242">
        <v>5.6</v>
      </c>
      <c r="J132" s="243">
        <v>6.3</v>
      </c>
      <c r="K132" s="241">
        <v>6.1</v>
      </c>
      <c r="L132" s="242">
        <v>6.8</v>
      </c>
      <c r="M132" s="243">
        <v>7.8</v>
      </c>
      <c r="N132" s="241">
        <v>9.1</v>
      </c>
      <c r="O132" s="242">
        <v>10.5</v>
      </c>
      <c r="P132" s="243">
        <v>12.5</v>
      </c>
      <c r="Z132" s="244">
        <f t="shared" si="4"/>
        <v>13.599999999999969</v>
      </c>
      <c r="AA132" s="376">
        <f t="shared" si="5"/>
        <v>1.6348728861772966E-3</v>
      </c>
    </row>
    <row r="133" spans="1:27">
      <c r="A133" s="244">
        <f t="shared" si="3"/>
        <v>13.699999999999969</v>
      </c>
      <c r="B133" s="241">
        <v>4.4000000000000004</v>
      </c>
      <c r="C133" s="242">
        <v>4.8</v>
      </c>
      <c r="D133" s="243">
        <v>5.3</v>
      </c>
      <c r="E133" s="241">
        <v>4.7</v>
      </c>
      <c r="F133" s="242">
        <v>5.0999999999999996</v>
      </c>
      <c r="G133" s="243">
        <v>5.7</v>
      </c>
      <c r="H133" s="241">
        <v>5.0999999999999996</v>
      </c>
      <c r="I133" s="242">
        <v>5.6</v>
      </c>
      <c r="J133" s="243">
        <v>6.4</v>
      </c>
      <c r="K133" s="241">
        <v>6.1</v>
      </c>
      <c r="L133" s="242">
        <v>6.8</v>
      </c>
      <c r="M133" s="243">
        <v>7.9</v>
      </c>
      <c r="N133" s="241">
        <v>9.1</v>
      </c>
      <c r="O133" s="242">
        <v>10.6</v>
      </c>
      <c r="P133" s="243">
        <v>12.6</v>
      </c>
      <c r="Z133" s="244">
        <f t="shared" si="4"/>
        <v>13.699999999999969</v>
      </c>
      <c r="AA133" s="376">
        <f t="shared" si="5"/>
        <v>1.6022653083127857E-3</v>
      </c>
    </row>
    <row r="134" spans="1:27">
      <c r="A134" s="244">
        <f t="shared" si="3"/>
        <v>13.799999999999969</v>
      </c>
      <c r="B134" s="241">
        <v>4.4000000000000004</v>
      </c>
      <c r="C134" s="242">
        <v>4.8</v>
      </c>
      <c r="D134" s="243">
        <v>5.3</v>
      </c>
      <c r="E134" s="241">
        <v>4.7</v>
      </c>
      <c r="F134" s="242">
        <v>5.0999999999999996</v>
      </c>
      <c r="G134" s="243">
        <v>5.7</v>
      </c>
      <c r="H134" s="241">
        <v>5.0999999999999996</v>
      </c>
      <c r="I134" s="242">
        <v>5.6</v>
      </c>
      <c r="J134" s="243">
        <v>6.4</v>
      </c>
      <c r="K134" s="241">
        <v>6.1</v>
      </c>
      <c r="L134" s="242">
        <v>6.9</v>
      </c>
      <c r="M134" s="243">
        <v>8</v>
      </c>
      <c r="N134" s="241">
        <v>9.1999999999999993</v>
      </c>
      <c r="O134" s="242">
        <v>10.6</v>
      </c>
      <c r="P134" s="243">
        <v>12.7</v>
      </c>
      <c r="Z134" s="244">
        <f t="shared" si="4"/>
        <v>13.799999999999969</v>
      </c>
      <c r="AA134" s="376">
        <f t="shared" si="5"/>
        <v>1.5705381910428797E-3</v>
      </c>
    </row>
    <row r="135" spans="1:27">
      <c r="A135" s="244">
        <f t="shared" ref="A135:A198" si="6">A134+0.1</f>
        <v>13.899999999999968</v>
      </c>
      <c r="B135" s="241">
        <v>4.4000000000000004</v>
      </c>
      <c r="C135" s="242">
        <v>4.8</v>
      </c>
      <c r="D135" s="243">
        <v>5.4</v>
      </c>
      <c r="E135" s="241">
        <v>4.7</v>
      </c>
      <c r="F135" s="242">
        <v>5.0999999999999996</v>
      </c>
      <c r="G135" s="243">
        <v>5.8</v>
      </c>
      <c r="H135" s="241">
        <v>5.0999999999999996</v>
      </c>
      <c r="I135" s="242">
        <v>5.7</v>
      </c>
      <c r="J135" s="243">
        <v>6.5</v>
      </c>
      <c r="K135" s="241">
        <v>6.1</v>
      </c>
      <c r="L135" s="242">
        <v>6.9</v>
      </c>
      <c r="M135" s="243">
        <v>8</v>
      </c>
      <c r="N135" s="241">
        <v>9.1999999999999993</v>
      </c>
      <c r="O135" s="242">
        <v>10.7</v>
      </c>
      <c r="P135" s="243">
        <v>12.8</v>
      </c>
      <c r="Z135" s="244">
        <f t="shared" ref="Z135:Z198" si="7">Z134+0.1</f>
        <v>13.899999999999968</v>
      </c>
      <c r="AA135" s="376">
        <f t="shared" ref="AA135:AA198" si="8">T_gal(Z135)</f>
        <v>1.5396616362050547E-3</v>
      </c>
    </row>
    <row r="136" spans="1:27">
      <c r="A136" s="244">
        <f t="shared" si="6"/>
        <v>13.999999999999968</v>
      </c>
      <c r="B136" s="241">
        <v>4.4000000000000004</v>
      </c>
      <c r="C136" s="242">
        <v>4.8</v>
      </c>
      <c r="D136" s="243">
        <v>5.4</v>
      </c>
      <c r="E136" s="241">
        <v>4.7</v>
      </c>
      <c r="F136" s="242">
        <v>5.2</v>
      </c>
      <c r="G136" s="243">
        <v>5.8</v>
      </c>
      <c r="H136" s="241">
        <v>5.0999999999999996</v>
      </c>
      <c r="I136" s="242">
        <v>5.7</v>
      </c>
      <c r="J136" s="243">
        <v>6.5</v>
      </c>
      <c r="K136" s="241">
        <v>6.1</v>
      </c>
      <c r="L136" s="242">
        <v>6.9</v>
      </c>
      <c r="M136" s="243">
        <v>8.1</v>
      </c>
      <c r="N136" s="241">
        <v>9.1999999999999993</v>
      </c>
      <c r="O136" s="242">
        <v>10.8</v>
      </c>
      <c r="P136" s="243">
        <v>13</v>
      </c>
      <c r="Z136" s="244">
        <f t="shared" si="7"/>
        <v>13.999999999999968</v>
      </c>
      <c r="AA136" s="376">
        <f t="shared" si="8"/>
        <v>1.5096069659081583E-3</v>
      </c>
    </row>
    <row r="137" spans="1:27">
      <c r="A137" s="244">
        <f t="shared" si="6"/>
        <v>14.099999999999968</v>
      </c>
      <c r="B137" s="241">
        <v>4.4000000000000004</v>
      </c>
      <c r="C137" s="242">
        <v>4.8</v>
      </c>
      <c r="D137" s="243">
        <v>5.4</v>
      </c>
      <c r="E137" s="241">
        <v>4.7</v>
      </c>
      <c r="F137" s="242">
        <v>5.2</v>
      </c>
      <c r="G137" s="243">
        <v>5.9</v>
      </c>
      <c r="H137" s="241">
        <v>5.0999999999999996</v>
      </c>
      <c r="I137" s="242">
        <v>5.7</v>
      </c>
      <c r="J137" s="243">
        <v>6.6</v>
      </c>
      <c r="K137" s="241">
        <v>6.1</v>
      </c>
      <c r="L137" s="242">
        <v>7</v>
      </c>
      <c r="M137" s="243">
        <v>8.1</v>
      </c>
      <c r="N137" s="241">
        <v>9.3000000000000007</v>
      </c>
      <c r="O137" s="242">
        <v>10.8</v>
      </c>
      <c r="P137" s="243">
        <v>13.1</v>
      </c>
      <c r="Z137" s="244">
        <f t="shared" si="7"/>
        <v>14.099999999999968</v>
      </c>
      <c r="AA137" s="376">
        <f t="shared" si="8"/>
        <v>1.4803466644787862E-3</v>
      </c>
    </row>
    <row r="138" spans="1:27">
      <c r="A138" s="244">
        <f t="shared" si="6"/>
        <v>14.199999999999967</v>
      </c>
      <c r="B138" s="241">
        <v>4.4000000000000004</v>
      </c>
      <c r="C138" s="242">
        <v>4.9000000000000004</v>
      </c>
      <c r="D138" s="243">
        <v>5.5</v>
      </c>
      <c r="E138" s="241">
        <v>4.7</v>
      </c>
      <c r="F138" s="242">
        <v>5.2</v>
      </c>
      <c r="G138" s="243">
        <v>5.9</v>
      </c>
      <c r="H138" s="241">
        <v>5.0999999999999996</v>
      </c>
      <c r="I138" s="242">
        <v>5.7</v>
      </c>
      <c r="J138" s="243">
        <v>6.6</v>
      </c>
      <c r="K138" s="241">
        <v>6.1</v>
      </c>
      <c r="L138" s="242">
        <v>7</v>
      </c>
      <c r="M138" s="243">
        <v>8.1999999999999993</v>
      </c>
      <c r="N138" s="241">
        <v>9.3000000000000007</v>
      </c>
      <c r="O138" s="242">
        <v>10.9</v>
      </c>
      <c r="P138" s="243">
        <v>13.2</v>
      </c>
      <c r="Z138" s="244">
        <f t="shared" si="7"/>
        <v>14.199999999999967</v>
      </c>
      <c r="AA138" s="376">
        <f t="shared" si="8"/>
        <v>1.4518543235564688E-3</v>
      </c>
    </row>
    <row r="139" spans="1:27">
      <c r="A139" s="244">
        <f t="shared" si="6"/>
        <v>14.299999999999967</v>
      </c>
      <c r="B139" s="241">
        <v>4.4000000000000004</v>
      </c>
      <c r="C139" s="242">
        <v>4.9000000000000004</v>
      </c>
      <c r="D139" s="243">
        <v>5.5</v>
      </c>
      <c r="E139" s="241">
        <v>4.7</v>
      </c>
      <c r="F139" s="242">
        <v>5.2</v>
      </c>
      <c r="G139" s="243">
        <v>5.9</v>
      </c>
      <c r="H139" s="241">
        <v>5.2</v>
      </c>
      <c r="I139" s="242">
        <v>5.8</v>
      </c>
      <c r="J139" s="243">
        <v>6.7</v>
      </c>
      <c r="K139" s="241">
        <v>6.2</v>
      </c>
      <c r="L139" s="242">
        <v>7</v>
      </c>
      <c r="M139" s="243">
        <v>8.3000000000000007</v>
      </c>
      <c r="N139" s="241">
        <v>9.3000000000000007</v>
      </c>
      <c r="O139" s="242">
        <v>11</v>
      </c>
      <c r="P139" s="243">
        <v>13.3</v>
      </c>
      <c r="Z139" s="244">
        <f t="shared" si="7"/>
        <v>14.299999999999967</v>
      </c>
      <c r="AA139" s="376">
        <f t="shared" si="8"/>
        <v>1.4241045901461874E-3</v>
      </c>
    </row>
    <row r="140" spans="1:27">
      <c r="A140" s="244">
        <f t="shared" si="6"/>
        <v>14.399999999999967</v>
      </c>
      <c r="B140" s="241">
        <v>4.4000000000000004</v>
      </c>
      <c r="C140" s="242">
        <v>4.9000000000000004</v>
      </c>
      <c r="D140" s="243">
        <v>5.5</v>
      </c>
      <c r="E140" s="241">
        <v>4.7</v>
      </c>
      <c r="F140" s="242">
        <v>5.2</v>
      </c>
      <c r="G140" s="243">
        <v>6</v>
      </c>
      <c r="H140" s="241">
        <v>5.2</v>
      </c>
      <c r="I140" s="242">
        <v>5.8</v>
      </c>
      <c r="J140" s="243">
        <v>6.7</v>
      </c>
      <c r="K140" s="241">
        <v>6.2</v>
      </c>
      <c r="L140" s="242">
        <v>7.1</v>
      </c>
      <c r="M140" s="243">
        <v>8.4</v>
      </c>
      <c r="N140" s="241">
        <v>9.3000000000000007</v>
      </c>
      <c r="O140" s="242">
        <v>11.1</v>
      </c>
      <c r="P140" s="243">
        <v>13.5</v>
      </c>
      <c r="Z140" s="244">
        <f t="shared" si="7"/>
        <v>14.399999999999967</v>
      </c>
      <c r="AA140" s="376">
        <f t="shared" si="8"/>
        <v>1.3970731174496151E-3</v>
      </c>
    </row>
    <row r="141" spans="1:27">
      <c r="A141" s="244">
        <f t="shared" si="6"/>
        <v>14.499999999999966</v>
      </c>
      <c r="B141" s="241">
        <v>4.5</v>
      </c>
      <c r="C141" s="242">
        <v>4.9000000000000004</v>
      </c>
      <c r="D141" s="243">
        <v>5.6</v>
      </c>
      <c r="E141" s="241">
        <v>4.7</v>
      </c>
      <c r="F141" s="242">
        <v>5.3</v>
      </c>
      <c r="G141" s="243">
        <v>6</v>
      </c>
      <c r="H141" s="241">
        <v>5.2</v>
      </c>
      <c r="I141" s="242">
        <v>5.8</v>
      </c>
      <c r="J141" s="243">
        <v>6.8</v>
      </c>
      <c r="K141" s="241">
        <v>6.2</v>
      </c>
      <c r="L141" s="242">
        <v>7.1</v>
      </c>
      <c r="M141" s="243">
        <v>8.4</v>
      </c>
      <c r="N141" s="241">
        <v>9.4</v>
      </c>
      <c r="O141" s="242">
        <v>11.1</v>
      </c>
      <c r="P141" s="243">
        <v>13.6</v>
      </c>
      <c r="Z141" s="244">
        <f t="shared" si="7"/>
        <v>14.499999999999966</v>
      </c>
      <c r="AA141" s="376">
        <f t="shared" si="8"/>
        <v>1.3707365183084181E-3</v>
      </c>
    </row>
    <row r="142" spans="1:27">
      <c r="A142" s="244">
        <f t="shared" si="6"/>
        <v>14.599999999999966</v>
      </c>
      <c r="B142" s="241">
        <v>4.5</v>
      </c>
      <c r="C142" s="242">
        <v>4.9000000000000004</v>
      </c>
      <c r="D142" s="243">
        <v>5.6</v>
      </c>
      <c r="E142" s="241">
        <v>4.7</v>
      </c>
      <c r="F142" s="242">
        <v>5.3</v>
      </c>
      <c r="G142" s="243">
        <v>6.1</v>
      </c>
      <c r="H142" s="241">
        <v>5.2</v>
      </c>
      <c r="I142" s="242">
        <v>5.9</v>
      </c>
      <c r="J142" s="243">
        <v>6.8</v>
      </c>
      <c r="K142" s="241">
        <v>6.2</v>
      </c>
      <c r="L142" s="242">
        <v>7.2</v>
      </c>
      <c r="M142" s="243">
        <v>8.5</v>
      </c>
      <c r="N142" s="241">
        <v>9.4</v>
      </c>
      <c r="O142" s="242">
        <v>11.2</v>
      </c>
      <c r="P142" s="243">
        <v>13.7</v>
      </c>
      <c r="Z142" s="244">
        <f t="shared" si="7"/>
        <v>14.599999999999966</v>
      </c>
      <c r="AA142" s="376">
        <f t="shared" si="8"/>
        <v>1.3450723211040174E-3</v>
      </c>
    </row>
    <row r="143" spans="1:27">
      <c r="A143" s="244">
        <f t="shared" si="6"/>
        <v>14.699999999999966</v>
      </c>
      <c r="B143" s="241">
        <v>4.5</v>
      </c>
      <c r="C143" s="242">
        <v>5</v>
      </c>
      <c r="D143" s="243">
        <v>5.7</v>
      </c>
      <c r="E143" s="241">
        <v>4.7</v>
      </c>
      <c r="F143" s="242">
        <v>5.3</v>
      </c>
      <c r="G143" s="243">
        <v>6.1</v>
      </c>
      <c r="H143" s="241">
        <v>5.2</v>
      </c>
      <c r="I143" s="242">
        <v>5.9</v>
      </c>
      <c r="J143" s="243">
        <v>6.9</v>
      </c>
      <c r="K143" s="241">
        <v>6.2</v>
      </c>
      <c r="L143" s="242">
        <v>7.2</v>
      </c>
      <c r="M143" s="243">
        <v>8.6</v>
      </c>
      <c r="N143" s="241">
        <v>9.4</v>
      </c>
      <c r="O143" s="242">
        <v>11.3</v>
      </c>
      <c r="P143" s="243">
        <v>13.9</v>
      </c>
      <c r="Z143" s="244">
        <f t="shared" si="7"/>
        <v>14.699999999999966</v>
      </c>
      <c r="AA143" s="376">
        <f t="shared" si="8"/>
        <v>1.3200589279684649E-3</v>
      </c>
    </row>
    <row r="144" spans="1:27">
      <c r="A144" s="244">
        <f t="shared" si="6"/>
        <v>14.799999999999965</v>
      </c>
      <c r="B144" s="241">
        <v>4.5</v>
      </c>
      <c r="C144" s="242">
        <v>5</v>
      </c>
      <c r="D144" s="243">
        <v>5.7</v>
      </c>
      <c r="E144" s="241">
        <v>4.8</v>
      </c>
      <c r="F144" s="242">
        <v>5.3</v>
      </c>
      <c r="G144" s="243">
        <v>6.2</v>
      </c>
      <c r="H144" s="241">
        <v>5.2</v>
      </c>
      <c r="I144" s="242">
        <v>5.9</v>
      </c>
      <c r="J144" s="243">
        <v>6.9</v>
      </c>
      <c r="K144" s="241">
        <v>6.2</v>
      </c>
      <c r="L144" s="242">
        <v>7.2</v>
      </c>
      <c r="M144" s="243">
        <v>8.6999999999999993</v>
      </c>
      <c r="N144" s="241">
        <v>9.5</v>
      </c>
      <c r="O144" s="242">
        <v>11.4</v>
      </c>
      <c r="P144" s="243">
        <v>14</v>
      </c>
      <c r="Z144" s="244">
        <f t="shared" si="7"/>
        <v>14.799999999999965</v>
      </c>
      <c r="AA144" s="376">
        <f t="shared" si="8"/>
        <v>1.295675575170615E-3</v>
      </c>
    </row>
    <row r="145" spans="1:27">
      <c r="A145" s="244">
        <f t="shared" si="6"/>
        <v>14.899999999999965</v>
      </c>
      <c r="B145" s="241">
        <v>4.5</v>
      </c>
      <c r="C145" s="242">
        <v>5</v>
      </c>
      <c r="D145" s="243">
        <v>5.7</v>
      </c>
      <c r="E145" s="241">
        <v>4.8</v>
      </c>
      <c r="F145" s="242">
        <v>5.4</v>
      </c>
      <c r="G145" s="243">
        <v>6.2</v>
      </c>
      <c r="H145" s="241">
        <v>5.2</v>
      </c>
      <c r="I145" s="242">
        <v>6</v>
      </c>
      <c r="J145" s="243">
        <v>7</v>
      </c>
      <c r="K145" s="241">
        <v>6.3</v>
      </c>
      <c r="L145" s="242">
        <v>7.3</v>
      </c>
      <c r="M145" s="243">
        <v>8.6999999999999993</v>
      </c>
      <c r="N145" s="241">
        <v>9.5</v>
      </c>
      <c r="O145" s="242">
        <v>11.5</v>
      </c>
      <c r="P145" s="243">
        <v>14.2</v>
      </c>
      <c r="Z145" s="244">
        <f t="shared" si="7"/>
        <v>14.899999999999965</v>
      </c>
      <c r="AA145" s="376">
        <f t="shared" si="8"/>
        <v>1.2719022955505945E-3</v>
      </c>
    </row>
    <row r="146" spans="1:27">
      <c r="A146" s="244">
        <f t="shared" si="6"/>
        <v>14.999999999999964</v>
      </c>
      <c r="B146" s="241">
        <v>4.5</v>
      </c>
      <c r="C146" s="242">
        <v>5</v>
      </c>
      <c r="D146" s="243">
        <v>5.8</v>
      </c>
      <c r="E146" s="241">
        <v>4.8</v>
      </c>
      <c r="F146" s="242">
        <v>5.4</v>
      </c>
      <c r="G146" s="243">
        <v>6.3</v>
      </c>
      <c r="H146" s="241">
        <v>5.2</v>
      </c>
      <c r="I146" s="242">
        <v>6</v>
      </c>
      <c r="J146" s="243">
        <v>7</v>
      </c>
      <c r="K146" s="241">
        <v>6.3</v>
      </c>
      <c r="L146" s="242">
        <v>7.3</v>
      </c>
      <c r="M146" s="243">
        <v>8.8000000000000007</v>
      </c>
      <c r="N146" s="241">
        <v>9.5</v>
      </c>
      <c r="O146" s="242">
        <v>11.5</v>
      </c>
      <c r="P146" s="243">
        <v>14.4</v>
      </c>
      <c r="Z146" s="244">
        <f t="shared" si="7"/>
        <v>14.999999999999964</v>
      </c>
      <c r="AA146" s="376">
        <f t="shared" si="8"/>
        <v>1.2487198828837935E-3</v>
      </c>
    </row>
    <row r="147" spans="1:27">
      <c r="A147" s="244">
        <f t="shared" si="6"/>
        <v>15.099999999999964</v>
      </c>
      <c r="B147" s="241">
        <v>4.5</v>
      </c>
      <c r="C147" s="242">
        <v>5.0999999999999996</v>
      </c>
      <c r="D147" s="243">
        <v>5.8</v>
      </c>
      <c r="E147" s="241">
        <v>4.8</v>
      </c>
      <c r="F147" s="242">
        <v>5.4</v>
      </c>
      <c r="G147" s="243">
        <v>6.3</v>
      </c>
      <c r="H147" s="241">
        <v>5.2</v>
      </c>
      <c r="I147" s="242">
        <v>6</v>
      </c>
      <c r="J147" s="243">
        <v>7.1</v>
      </c>
      <c r="K147" s="241">
        <v>6.3</v>
      </c>
      <c r="L147" s="242">
        <v>7.4</v>
      </c>
      <c r="M147" s="243">
        <v>8.9</v>
      </c>
      <c r="N147" s="241">
        <v>9.5</v>
      </c>
      <c r="O147" s="242">
        <v>11.6</v>
      </c>
      <c r="P147" s="243">
        <v>14.5</v>
      </c>
      <c r="Z147" s="244">
        <f t="shared" si="7"/>
        <v>15.099999999999964</v>
      </c>
      <c r="AA147" s="376">
        <f t="shared" si="8"/>
        <v>1.2261098580632148E-3</v>
      </c>
    </row>
    <row r="148" spans="1:27">
      <c r="A148" s="244">
        <f t="shared" si="6"/>
        <v>15.199999999999964</v>
      </c>
      <c r="B148" s="241">
        <v>4.5</v>
      </c>
      <c r="C148" s="242">
        <v>5.0999999999999996</v>
      </c>
      <c r="D148" s="243">
        <v>5.9</v>
      </c>
      <c r="E148" s="241">
        <v>4.8</v>
      </c>
      <c r="F148" s="242">
        <v>5.4</v>
      </c>
      <c r="G148" s="243">
        <v>6.4</v>
      </c>
      <c r="H148" s="241">
        <v>5.3</v>
      </c>
      <c r="I148" s="242">
        <v>6.1</v>
      </c>
      <c r="J148" s="243">
        <v>7.2</v>
      </c>
      <c r="K148" s="241">
        <v>6.3</v>
      </c>
      <c r="L148" s="242">
        <v>7.4</v>
      </c>
      <c r="M148" s="243">
        <v>9</v>
      </c>
      <c r="N148" s="241">
        <v>9.6</v>
      </c>
      <c r="O148" s="242">
        <v>11.7</v>
      </c>
      <c r="P148" s="243">
        <v>14.7</v>
      </c>
      <c r="Z148" s="244">
        <f t="shared" si="7"/>
        <v>15.199999999999964</v>
      </c>
      <c r="AA148" s="376">
        <f t="shared" si="8"/>
        <v>1.2040544369961144E-3</v>
      </c>
    </row>
    <row r="149" spans="1:27">
      <c r="A149" s="244">
        <f t="shared" si="6"/>
        <v>15.299999999999963</v>
      </c>
      <c r="B149" s="241">
        <v>4.5</v>
      </c>
      <c r="C149" s="242">
        <v>5.0999999999999996</v>
      </c>
      <c r="D149" s="243">
        <v>5.9</v>
      </c>
      <c r="E149" s="241">
        <v>4.8</v>
      </c>
      <c r="F149" s="242">
        <v>5.5</v>
      </c>
      <c r="G149" s="243">
        <v>6.4</v>
      </c>
      <c r="H149" s="241">
        <v>5.3</v>
      </c>
      <c r="I149" s="242">
        <v>6.1</v>
      </c>
      <c r="J149" s="243">
        <v>7.2</v>
      </c>
      <c r="K149" s="241">
        <v>6.3</v>
      </c>
      <c r="L149" s="242">
        <v>7.5</v>
      </c>
      <c r="M149" s="243">
        <v>9.1</v>
      </c>
      <c r="N149" s="241">
        <v>9.6</v>
      </c>
      <c r="O149" s="242">
        <v>11.8</v>
      </c>
      <c r="P149" s="243">
        <v>14.9</v>
      </c>
      <c r="Z149" s="244">
        <f t="shared" si="7"/>
        <v>15.299999999999963</v>
      </c>
      <c r="AA149" s="376">
        <f t="shared" si="8"/>
        <v>1.1825365001174554E-3</v>
      </c>
    </row>
    <row r="150" spans="1:27">
      <c r="A150" s="244">
        <f t="shared" si="6"/>
        <v>15.399999999999963</v>
      </c>
      <c r="B150" s="241">
        <v>4.5</v>
      </c>
      <c r="C150" s="242">
        <v>5.0999999999999996</v>
      </c>
      <c r="D150" s="243">
        <v>6</v>
      </c>
      <c r="E150" s="241">
        <v>4.8</v>
      </c>
      <c r="F150" s="242">
        <v>5.5</v>
      </c>
      <c r="G150" s="243">
        <v>6.5</v>
      </c>
      <c r="H150" s="241">
        <v>5.3</v>
      </c>
      <c r="I150" s="242">
        <v>6.1</v>
      </c>
      <c r="J150" s="243">
        <v>7.3</v>
      </c>
      <c r="K150" s="241">
        <v>6.3</v>
      </c>
      <c r="L150" s="242">
        <v>7.5</v>
      </c>
      <c r="M150" s="243">
        <v>9.1999999999999993</v>
      </c>
      <c r="N150" s="241">
        <v>9.6</v>
      </c>
      <c r="O150" s="242">
        <v>11.9</v>
      </c>
      <c r="P150" s="243">
        <v>15.1</v>
      </c>
      <c r="Z150" s="244">
        <f t="shared" si="7"/>
        <v>15.399999999999963</v>
      </c>
      <c r="AA150" s="376">
        <f t="shared" si="8"/>
        <v>1.1615395634288362E-3</v>
      </c>
    </row>
    <row r="151" spans="1:27">
      <c r="A151" s="244">
        <f t="shared" si="6"/>
        <v>15.499999999999963</v>
      </c>
      <c r="B151" s="241">
        <v>4.5</v>
      </c>
      <c r="C151" s="242">
        <v>5.2</v>
      </c>
      <c r="D151" s="243">
        <v>6</v>
      </c>
      <c r="E151" s="241">
        <v>4.8</v>
      </c>
      <c r="F151" s="242">
        <v>5.5</v>
      </c>
      <c r="G151" s="243">
        <v>6.5</v>
      </c>
      <c r="H151" s="241">
        <v>5.3</v>
      </c>
      <c r="I151" s="242">
        <v>6.2</v>
      </c>
      <c r="J151" s="243">
        <v>7.4</v>
      </c>
      <c r="K151" s="241">
        <v>6.4</v>
      </c>
      <c r="L151" s="242">
        <v>7.6</v>
      </c>
      <c r="M151" s="243">
        <v>9.3000000000000007</v>
      </c>
      <c r="N151" s="241">
        <v>9.6999999999999993</v>
      </c>
      <c r="O151" s="242">
        <v>12</v>
      </c>
      <c r="P151" s="243">
        <v>15.2</v>
      </c>
      <c r="Z151" s="244">
        <f t="shared" si="7"/>
        <v>15.499999999999963</v>
      </c>
      <c r="AA151" s="376">
        <f t="shared" si="8"/>
        <v>1.1410477509772663E-3</v>
      </c>
    </row>
    <row r="152" spans="1:27">
      <c r="A152" s="244">
        <f t="shared" si="6"/>
        <v>15.599999999999962</v>
      </c>
      <c r="B152" s="241">
        <v>4.5</v>
      </c>
      <c r="C152" s="242">
        <v>5.2</v>
      </c>
      <c r="D152" s="243">
        <v>6.1</v>
      </c>
      <c r="E152" s="241">
        <v>4.8</v>
      </c>
      <c r="F152" s="242">
        <v>5.6</v>
      </c>
      <c r="G152" s="243">
        <v>6.6</v>
      </c>
      <c r="H152" s="241">
        <v>5.3</v>
      </c>
      <c r="I152" s="242">
        <v>6.2</v>
      </c>
      <c r="J152" s="243">
        <v>7.5</v>
      </c>
      <c r="K152" s="241">
        <v>6.4</v>
      </c>
      <c r="L152" s="242">
        <v>7.6</v>
      </c>
      <c r="M152" s="243">
        <v>9.4</v>
      </c>
      <c r="N152" s="241">
        <v>9.6999999999999993</v>
      </c>
      <c r="O152" s="242">
        <v>12.1</v>
      </c>
      <c r="P152" s="243">
        <v>15.4</v>
      </c>
      <c r="Z152" s="244">
        <f t="shared" si="7"/>
        <v>15.599999999999962</v>
      </c>
      <c r="AA152" s="376">
        <f t="shared" si="8"/>
        <v>1.1210457686934849E-3</v>
      </c>
    </row>
    <row r="153" spans="1:27">
      <c r="A153" s="244">
        <f t="shared" si="6"/>
        <v>15.699999999999962</v>
      </c>
      <c r="B153" s="241">
        <v>4.5999999999999996</v>
      </c>
      <c r="C153" s="242">
        <v>5.2</v>
      </c>
      <c r="D153" s="243">
        <v>6.1</v>
      </c>
      <c r="E153" s="241">
        <v>4.8</v>
      </c>
      <c r="F153" s="242">
        <v>5.6</v>
      </c>
      <c r="G153" s="243">
        <v>6.7</v>
      </c>
      <c r="H153" s="241">
        <v>5.3</v>
      </c>
      <c r="I153" s="242">
        <v>6.3</v>
      </c>
      <c r="J153" s="243">
        <v>7.5</v>
      </c>
      <c r="K153" s="241">
        <v>6.4</v>
      </c>
      <c r="L153" s="242">
        <v>7.7</v>
      </c>
      <c r="M153" s="243">
        <v>9.5</v>
      </c>
      <c r="N153" s="241">
        <v>9.8000000000000007</v>
      </c>
      <c r="O153" s="242">
        <v>12.2</v>
      </c>
      <c r="P153" s="243">
        <v>15.6</v>
      </c>
      <c r="Z153" s="244">
        <f t="shared" si="7"/>
        <v>15.699999999999962</v>
      </c>
      <c r="AA153" s="376">
        <f t="shared" si="8"/>
        <v>1.1015188795144748E-3</v>
      </c>
    </row>
    <row r="154" spans="1:27">
      <c r="A154" s="244">
        <f t="shared" si="6"/>
        <v>15.799999999999962</v>
      </c>
      <c r="B154" s="241">
        <v>4.5999999999999996</v>
      </c>
      <c r="C154" s="242">
        <v>5.2</v>
      </c>
      <c r="D154" s="243">
        <v>6.2</v>
      </c>
      <c r="E154" s="241">
        <v>4.9000000000000004</v>
      </c>
      <c r="F154" s="242">
        <v>5.6</v>
      </c>
      <c r="G154" s="243">
        <v>6.7</v>
      </c>
      <c r="H154" s="241">
        <v>5.3</v>
      </c>
      <c r="I154" s="242">
        <v>6.3</v>
      </c>
      <c r="J154" s="243">
        <v>7.6</v>
      </c>
      <c r="K154" s="241">
        <v>6.4</v>
      </c>
      <c r="L154" s="242">
        <v>7.8</v>
      </c>
      <c r="M154" s="243">
        <v>9.6</v>
      </c>
      <c r="N154" s="241">
        <v>9.8000000000000007</v>
      </c>
      <c r="O154" s="242">
        <v>12.4</v>
      </c>
      <c r="P154" s="243">
        <v>15.9</v>
      </c>
      <c r="Z154" s="244">
        <f t="shared" si="7"/>
        <v>15.799999999999962</v>
      </c>
      <c r="AA154" s="376">
        <f t="shared" si="8"/>
        <v>1.0824528797194466E-3</v>
      </c>
    </row>
    <row r="155" spans="1:27">
      <c r="A155" s="244">
        <f t="shared" si="6"/>
        <v>15.899999999999961</v>
      </c>
      <c r="B155" s="241">
        <v>4.5999999999999996</v>
      </c>
      <c r="C155" s="242">
        <v>5.3</v>
      </c>
      <c r="D155" s="243">
        <v>6.2</v>
      </c>
      <c r="E155" s="241">
        <v>4.9000000000000004</v>
      </c>
      <c r="F155" s="242">
        <v>5.7</v>
      </c>
      <c r="G155" s="243">
        <v>6.8</v>
      </c>
      <c r="H155" s="241">
        <v>5.3</v>
      </c>
      <c r="I155" s="242">
        <v>6.3</v>
      </c>
      <c r="J155" s="243">
        <v>7.7</v>
      </c>
      <c r="K155" s="241">
        <v>6.4</v>
      </c>
      <c r="L155" s="242">
        <v>7.8</v>
      </c>
      <c r="M155" s="243">
        <v>9.6999999999999993</v>
      </c>
      <c r="N155" s="241">
        <v>9.8000000000000007</v>
      </c>
      <c r="O155" s="242">
        <v>12.5</v>
      </c>
      <c r="P155" s="243">
        <v>16.100000000000001</v>
      </c>
      <c r="Z155" s="244">
        <f t="shared" si="7"/>
        <v>15.899999999999961</v>
      </c>
      <c r="AA155" s="376">
        <f t="shared" si="8"/>
        <v>1.0638340764128919E-3</v>
      </c>
    </row>
    <row r="156" spans="1:27">
      <c r="A156" s="244">
        <f t="shared" si="6"/>
        <v>15.999999999999961</v>
      </c>
      <c r="B156" s="241">
        <v>4.5999999999999996</v>
      </c>
      <c r="C156" s="242">
        <v>5.3</v>
      </c>
      <c r="D156" s="243">
        <v>6.3</v>
      </c>
      <c r="E156" s="241">
        <v>4.9000000000000004</v>
      </c>
      <c r="F156" s="242">
        <v>5.7</v>
      </c>
      <c r="G156" s="243">
        <v>6.9</v>
      </c>
      <c r="H156" s="241">
        <v>5.4</v>
      </c>
      <c r="I156" s="242">
        <v>6.4</v>
      </c>
      <c r="J156" s="243">
        <v>7.8</v>
      </c>
      <c r="K156" s="241">
        <v>6.5</v>
      </c>
      <c r="L156" s="242">
        <v>7.9</v>
      </c>
      <c r="M156" s="243">
        <v>9.9</v>
      </c>
      <c r="N156" s="241">
        <v>9.9</v>
      </c>
      <c r="O156" s="242">
        <v>12.6</v>
      </c>
      <c r="P156" s="243">
        <v>16.3</v>
      </c>
      <c r="Z156" s="244">
        <f t="shared" si="7"/>
        <v>15.999999999999961</v>
      </c>
      <c r="AA156" s="376">
        <f t="shared" si="8"/>
        <v>1.0456492660923078E-3</v>
      </c>
    </row>
    <row r="157" spans="1:27">
      <c r="A157" s="244">
        <f t="shared" si="6"/>
        <v>16.099999999999962</v>
      </c>
      <c r="B157" s="241">
        <v>4.5999999999999996</v>
      </c>
      <c r="C157" s="242">
        <v>5.3</v>
      </c>
      <c r="D157" s="243">
        <v>6.4</v>
      </c>
      <c r="E157" s="241">
        <v>4.9000000000000004</v>
      </c>
      <c r="F157" s="242">
        <v>5.8</v>
      </c>
      <c r="G157" s="243">
        <v>6.9</v>
      </c>
      <c r="H157" s="241">
        <v>5.4</v>
      </c>
      <c r="I157" s="242">
        <v>6.4</v>
      </c>
      <c r="J157" s="243">
        <v>7.9</v>
      </c>
      <c r="K157" s="241">
        <v>6.5</v>
      </c>
      <c r="L157" s="242">
        <v>8</v>
      </c>
      <c r="M157" s="243">
        <v>10</v>
      </c>
      <c r="N157" s="241">
        <v>9.9</v>
      </c>
      <c r="O157" s="242">
        <v>12.7</v>
      </c>
      <c r="P157" s="243">
        <v>16.5</v>
      </c>
      <c r="Z157" s="244">
        <f t="shared" si="7"/>
        <v>16.099999999999962</v>
      </c>
      <c r="AA157" s="376">
        <f t="shared" si="8"/>
        <v>1.027885714241976E-3</v>
      </c>
    </row>
    <row r="158" spans="1:27">
      <c r="A158" s="244">
        <f t="shared" si="6"/>
        <v>16.199999999999964</v>
      </c>
      <c r="B158" s="241">
        <v>4.5999999999999996</v>
      </c>
      <c r="C158" s="242">
        <v>5.4</v>
      </c>
      <c r="D158" s="243">
        <v>6.4</v>
      </c>
      <c r="E158" s="241">
        <v>4.9000000000000004</v>
      </c>
      <c r="F158" s="242">
        <v>5.8</v>
      </c>
      <c r="G158" s="243">
        <v>7</v>
      </c>
      <c r="H158" s="241">
        <v>5.4</v>
      </c>
      <c r="I158" s="242">
        <v>6.5</v>
      </c>
      <c r="J158" s="243">
        <v>8</v>
      </c>
      <c r="K158" s="241">
        <v>6.5</v>
      </c>
      <c r="L158" s="242">
        <v>8</v>
      </c>
      <c r="M158" s="243">
        <v>10.1</v>
      </c>
      <c r="N158" s="241">
        <v>9.9</v>
      </c>
      <c r="O158" s="242">
        <v>12.9</v>
      </c>
      <c r="P158" s="243">
        <v>16.8</v>
      </c>
      <c r="Z158" s="244">
        <f t="shared" si="7"/>
        <v>16.199999999999964</v>
      </c>
      <c r="AA158" s="376">
        <f t="shared" si="8"/>
        <v>1.0105311358976725E-3</v>
      </c>
    </row>
    <row r="159" spans="1:27">
      <c r="A159" s="244">
        <f t="shared" si="6"/>
        <v>16.299999999999965</v>
      </c>
      <c r="B159" s="241">
        <v>4.5999999999999996</v>
      </c>
      <c r="C159" s="242">
        <v>5.4</v>
      </c>
      <c r="D159" s="243">
        <v>6.5</v>
      </c>
      <c r="E159" s="241">
        <v>4.9000000000000004</v>
      </c>
      <c r="F159" s="242">
        <v>5.8</v>
      </c>
      <c r="G159" s="243">
        <v>7.1</v>
      </c>
      <c r="H159" s="241">
        <v>5.4</v>
      </c>
      <c r="I159" s="242">
        <v>6.5</v>
      </c>
      <c r="J159" s="243">
        <v>8.1</v>
      </c>
      <c r="K159" s="241">
        <v>6.5</v>
      </c>
      <c r="L159" s="242">
        <v>8.1</v>
      </c>
      <c r="M159" s="243">
        <v>10.3</v>
      </c>
      <c r="N159" s="241">
        <v>10</v>
      </c>
      <c r="O159" s="242">
        <v>13</v>
      </c>
      <c r="P159" s="243">
        <v>17</v>
      </c>
      <c r="Z159" s="244">
        <f t="shared" si="7"/>
        <v>16.299999999999965</v>
      </c>
      <c r="AA159" s="376">
        <f t="shared" si="8"/>
        <v>9.9357367713046496E-4</v>
      </c>
    </row>
    <row r="160" spans="1:27">
      <c r="A160" s="244">
        <f t="shared" si="6"/>
        <v>16.399999999999967</v>
      </c>
      <c r="B160" s="241">
        <v>4.5999999999999996</v>
      </c>
      <c r="C160" s="242">
        <v>5.5</v>
      </c>
      <c r="D160" s="243">
        <v>6.6</v>
      </c>
      <c r="E160" s="241">
        <v>4.9000000000000004</v>
      </c>
      <c r="F160" s="242">
        <v>5.9</v>
      </c>
      <c r="G160" s="243">
        <v>7.2</v>
      </c>
      <c r="H160" s="241">
        <v>5.4</v>
      </c>
      <c r="I160" s="242">
        <v>6.6</v>
      </c>
      <c r="J160" s="243">
        <v>8.1999999999999993</v>
      </c>
      <c r="K160" s="241">
        <v>6.5</v>
      </c>
      <c r="L160" s="242">
        <v>8.1999999999999993</v>
      </c>
      <c r="M160" s="243">
        <v>10.4</v>
      </c>
      <c r="N160" s="241">
        <v>10</v>
      </c>
      <c r="O160" s="242">
        <v>13.1</v>
      </c>
      <c r="P160" s="243">
        <v>17.3</v>
      </c>
      <c r="Z160" s="244">
        <f t="shared" si="7"/>
        <v>16.399999999999967</v>
      </c>
      <c r="AA160" s="376">
        <f t="shared" si="8"/>
        <v>9.7700189740083454E-4</v>
      </c>
    </row>
    <row r="161" spans="1:27">
      <c r="A161" s="244">
        <f t="shared" si="6"/>
        <v>16.499999999999968</v>
      </c>
      <c r="B161" s="241">
        <v>4.5999999999999996</v>
      </c>
      <c r="C161" s="242">
        <v>5.5</v>
      </c>
      <c r="D161" s="243">
        <v>6.7</v>
      </c>
      <c r="E161" s="241">
        <v>4.9000000000000004</v>
      </c>
      <c r="F161" s="242">
        <v>5.9</v>
      </c>
      <c r="G161" s="243">
        <v>7.3</v>
      </c>
      <c r="H161" s="241">
        <v>5.4</v>
      </c>
      <c r="I161" s="242">
        <v>6.6</v>
      </c>
      <c r="J161" s="243">
        <v>8.3000000000000007</v>
      </c>
      <c r="K161" s="241">
        <v>6.6</v>
      </c>
      <c r="L161" s="242">
        <v>8.1999999999999993</v>
      </c>
      <c r="M161" s="243">
        <v>10.5</v>
      </c>
      <c r="N161" s="241">
        <v>10.1</v>
      </c>
      <c r="O161" s="242">
        <v>13.3</v>
      </c>
      <c r="P161" s="243">
        <v>17.600000000000001</v>
      </c>
      <c r="Z161" s="244">
        <f t="shared" si="7"/>
        <v>16.499999999999968</v>
      </c>
      <c r="AA161" s="376">
        <f t="shared" si="8"/>
        <v>9.6080475273720254E-4</v>
      </c>
    </row>
    <row r="162" spans="1:27">
      <c r="A162" s="244">
        <f t="shared" si="6"/>
        <v>16.599999999999969</v>
      </c>
      <c r="B162" s="241">
        <v>4.7</v>
      </c>
      <c r="C162" s="242">
        <v>5.5</v>
      </c>
      <c r="D162" s="243">
        <v>6.7</v>
      </c>
      <c r="E162" s="241">
        <v>5</v>
      </c>
      <c r="F162" s="242">
        <v>6</v>
      </c>
      <c r="G162" s="243">
        <v>7.3</v>
      </c>
      <c r="H162" s="241">
        <v>5.5</v>
      </c>
      <c r="I162" s="242">
        <v>6.7</v>
      </c>
      <c r="J162" s="243">
        <v>8.4</v>
      </c>
      <c r="K162" s="241">
        <v>6.6</v>
      </c>
      <c r="L162" s="242">
        <v>8.3000000000000007</v>
      </c>
      <c r="M162" s="243">
        <v>10.7</v>
      </c>
      <c r="N162" s="241">
        <v>10.1</v>
      </c>
      <c r="O162" s="242">
        <v>13.4</v>
      </c>
      <c r="P162" s="243">
        <v>17.899999999999999</v>
      </c>
      <c r="Z162" s="244">
        <f t="shared" si="7"/>
        <v>16.599999999999969</v>
      </c>
      <c r="AA162" s="376">
        <f t="shared" si="8"/>
        <v>9.4497157969564486E-4</v>
      </c>
    </row>
    <row r="163" spans="1:27">
      <c r="A163" s="244">
        <f t="shared" si="6"/>
        <v>16.699999999999971</v>
      </c>
      <c r="B163" s="241">
        <v>4.7</v>
      </c>
      <c r="C163" s="242">
        <v>5.6</v>
      </c>
      <c r="D163" s="243">
        <v>6.8</v>
      </c>
      <c r="E163" s="241">
        <v>5</v>
      </c>
      <c r="F163" s="242">
        <v>6</v>
      </c>
      <c r="G163" s="243">
        <v>7.4</v>
      </c>
      <c r="H163" s="241">
        <v>5.5</v>
      </c>
      <c r="I163" s="242">
        <v>6.8</v>
      </c>
      <c r="J163" s="243">
        <v>8.5</v>
      </c>
      <c r="K163" s="241">
        <v>6.6</v>
      </c>
      <c r="L163" s="242">
        <v>8.4</v>
      </c>
      <c r="M163" s="243">
        <v>10.9</v>
      </c>
      <c r="N163" s="241">
        <v>10.199999999999999</v>
      </c>
      <c r="O163" s="242">
        <v>13.6</v>
      </c>
      <c r="P163" s="243">
        <v>18.2</v>
      </c>
      <c r="Z163" s="244">
        <f t="shared" si="7"/>
        <v>16.699999999999971</v>
      </c>
      <c r="AA163" s="376">
        <f t="shared" si="8"/>
        <v>9.2949208006007768E-4</v>
      </c>
    </row>
    <row r="164" spans="1:27">
      <c r="A164" s="244">
        <f t="shared" si="6"/>
        <v>16.799999999999972</v>
      </c>
      <c r="B164" s="241">
        <v>4.7</v>
      </c>
      <c r="C164" s="242">
        <v>5.6</v>
      </c>
      <c r="D164" s="243">
        <v>6.9</v>
      </c>
      <c r="E164" s="241">
        <v>5</v>
      </c>
      <c r="F164" s="242">
        <v>6.1</v>
      </c>
      <c r="G164" s="243">
        <v>7.5</v>
      </c>
      <c r="H164" s="241">
        <v>5.5</v>
      </c>
      <c r="I164" s="242">
        <v>6.8</v>
      </c>
      <c r="J164" s="243">
        <v>8.6</v>
      </c>
      <c r="K164" s="241">
        <v>6.6</v>
      </c>
      <c r="L164" s="242">
        <v>8.5</v>
      </c>
      <c r="M164" s="243">
        <v>11</v>
      </c>
      <c r="N164" s="241">
        <v>10.199999999999999</v>
      </c>
      <c r="O164" s="242">
        <v>13.7</v>
      </c>
      <c r="P164" s="243">
        <v>18.5</v>
      </c>
      <c r="Z164" s="244">
        <f t="shared" si="7"/>
        <v>16.799999999999972</v>
      </c>
      <c r="AA164" s="376">
        <f t="shared" si="8"/>
        <v>9.1435630624454639E-4</v>
      </c>
    </row>
    <row r="165" spans="1:27">
      <c r="A165" s="244">
        <f t="shared" si="6"/>
        <v>16.899999999999974</v>
      </c>
      <c r="B165" s="241">
        <v>4.7</v>
      </c>
      <c r="C165" s="242">
        <v>5.7</v>
      </c>
      <c r="D165" s="243">
        <v>7</v>
      </c>
      <c r="E165" s="241">
        <v>5</v>
      </c>
      <c r="F165" s="242">
        <v>6.1</v>
      </c>
      <c r="G165" s="243">
        <v>7.6</v>
      </c>
      <c r="H165" s="241">
        <v>5.5</v>
      </c>
      <c r="I165" s="242">
        <v>6.9</v>
      </c>
      <c r="J165" s="243">
        <v>8.6999999999999993</v>
      </c>
      <c r="K165" s="241">
        <v>6.7</v>
      </c>
      <c r="L165" s="242">
        <v>8.6</v>
      </c>
      <c r="M165" s="243">
        <v>11.2</v>
      </c>
      <c r="N165" s="241">
        <v>10.3</v>
      </c>
      <c r="O165" s="242">
        <v>13.9</v>
      </c>
      <c r="P165" s="243">
        <v>18.8</v>
      </c>
      <c r="Z165" s="244">
        <f t="shared" si="7"/>
        <v>16.899999999999974</v>
      </c>
      <c r="AA165" s="376">
        <f t="shared" si="8"/>
        <v>8.9955464736145958E-4</v>
      </c>
    </row>
    <row r="166" spans="1:27">
      <c r="A166" s="244">
        <f t="shared" si="6"/>
        <v>16.999999999999975</v>
      </c>
      <c r="B166" s="241">
        <v>4.7</v>
      </c>
      <c r="C166" s="242">
        <v>5.7</v>
      </c>
      <c r="D166" s="243">
        <v>7.1</v>
      </c>
      <c r="E166" s="241">
        <v>5</v>
      </c>
      <c r="F166" s="242">
        <v>6.2</v>
      </c>
      <c r="G166" s="243">
        <v>7.8</v>
      </c>
      <c r="H166" s="241">
        <v>5.5</v>
      </c>
      <c r="I166" s="242">
        <v>7</v>
      </c>
      <c r="J166" s="243">
        <v>8.9</v>
      </c>
      <c r="K166" s="241">
        <v>6.7</v>
      </c>
      <c r="L166" s="242">
        <v>8.6999999999999993</v>
      </c>
      <c r="M166" s="243">
        <v>11.4</v>
      </c>
      <c r="N166" s="241">
        <v>10.3</v>
      </c>
      <c r="O166" s="242">
        <v>14.1</v>
      </c>
      <c r="P166" s="243">
        <v>19.2</v>
      </c>
      <c r="Z166" s="244">
        <f t="shared" si="7"/>
        <v>16.999999999999975</v>
      </c>
      <c r="AA166" s="376">
        <f t="shared" si="8"/>
        <v>8.8507781592166732E-4</v>
      </c>
    </row>
    <row r="167" spans="1:27">
      <c r="A167" s="244">
        <f t="shared" si="6"/>
        <v>17.099999999999977</v>
      </c>
      <c r="B167" s="241">
        <v>4.7</v>
      </c>
      <c r="C167" s="242">
        <v>5.8</v>
      </c>
      <c r="D167" s="243">
        <v>7.2</v>
      </c>
      <c r="E167" s="241">
        <v>5</v>
      </c>
      <c r="F167" s="242">
        <v>6.2</v>
      </c>
      <c r="G167" s="243">
        <v>7.9</v>
      </c>
      <c r="H167" s="241">
        <v>5.5</v>
      </c>
      <c r="I167" s="242">
        <v>7</v>
      </c>
      <c r="J167" s="243">
        <v>9</v>
      </c>
      <c r="K167" s="241">
        <v>6.7</v>
      </c>
      <c r="L167" s="242">
        <v>8.8000000000000007</v>
      </c>
      <c r="M167" s="243">
        <v>11.6</v>
      </c>
      <c r="N167" s="241">
        <v>10.4</v>
      </c>
      <c r="O167" s="242">
        <v>14.3</v>
      </c>
      <c r="P167" s="243">
        <v>19.5</v>
      </c>
      <c r="Z167" s="244">
        <f t="shared" si="7"/>
        <v>17.099999999999977</v>
      </c>
      <c r="AA167" s="376">
        <f t="shared" si="8"/>
        <v>8.7091683513421711E-4</v>
      </c>
    </row>
    <row r="168" spans="1:27">
      <c r="A168" s="244">
        <f t="shared" si="6"/>
        <v>17.199999999999978</v>
      </c>
      <c r="B168" s="241">
        <v>4.7</v>
      </c>
      <c r="C168" s="242">
        <v>5.8</v>
      </c>
      <c r="D168" s="243">
        <v>7.3</v>
      </c>
      <c r="E168" s="241">
        <v>5</v>
      </c>
      <c r="F168" s="242">
        <v>6.3</v>
      </c>
      <c r="G168" s="243">
        <v>8</v>
      </c>
      <c r="H168" s="241">
        <v>5.6</v>
      </c>
      <c r="I168" s="242">
        <v>7.1</v>
      </c>
      <c r="J168" s="243">
        <v>9.1999999999999993</v>
      </c>
      <c r="K168" s="241">
        <v>6.7</v>
      </c>
      <c r="L168" s="242">
        <v>8.9</v>
      </c>
      <c r="M168" s="243">
        <v>11.8</v>
      </c>
      <c r="N168" s="241">
        <v>10.4</v>
      </c>
      <c r="O168" s="242">
        <v>14.5</v>
      </c>
      <c r="P168" s="243">
        <v>19.899999999999999</v>
      </c>
      <c r="Z168" s="244">
        <f t="shared" si="7"/>
        <v>17.199999999999978</v>
      </c>
      <c r="AA168" s="376">
        <f t="shared" si="8"/>
        <v>8.570630267754404E-4</v>
      </c>
    </row>
    <row r="169" spans="1:27">
      <c r="A169" s="244">
        <f t="shared" si="6"/>
        <v>17.299999999999979</v>
      </c>
      <c r="B169" s="241">
        <v>4.7</v>
      </c>
      <c r="C169" s="242">
        <v>5.9</v>
      </c>
      <c r="D169" s="243">
        <v>7.4</v>
      </c>
      <c r="E169" s="241">
        <v>5.0999999999999996</v>
      </c>
      <c r="F169" s="242">
        <v>6.4</v>
      </c>
      <c r="G169" s="243">
        <v>8.1</v>
      </c>
      <c r="H169" s="241">
        <v>5.6</v>
      </c>
      <c r="I169" s="242">
        <v>7.2</v>
      </c>
      <c r="J169" s="243">
        <v>9.3000000000000007</v>
      </c>
      <c r="K169" s="241">
        <v>6.8</v>
      </c>
      <c r="L169" s="242">
        <v>9</v>
      </c>
      <c r="M169" s="243">
        <v>12</v>
      </c>
      <c r="N169" s="241">
        <v>10.5</v>
      </c>
      <c r="O169" s="242">
        <v>14.7</v>
      </c>
      <c r="P169" s="243">
        <v>20.3</v>
      </c>
      <c r="Z169" s="244">
        <f t="shared" si="7"/>
        <v>17.299999999999979</v>
      </c>
      <c r="AA169" s="376">
        <f t="shared" si="8"/>
        <v>8.4350799959871518E-4</v>
      </c>
    </row>
    <row r="170" spans="1:27">
      <c r="A170" s="244">
        <f t="shared" si="6"/>
        <v>17.399999999999981</v>
      </c>
      <c r="B170" s="241">
        <v>4.8</v>
      </c>
      <c r="C170" s="242">
        <v>5.9</v>
      </c>
      <c r="D170" s="243">
        <v>7.5</v>
      </c>
      <c r="E170" s="241">
        <v>5.0999999999999996</v>
      </c>
      <c r="F170" s="242">
        <v>6.4</v>
      </c>
      <c r="G170" s="243">
        <v>8.1999999999999993</v>
      </c>
      <c r="H170" s="241">
        <v>5.6</v>
      </c>
      <c r="I170" s="242">
        <v>7.3</v>
      </c>
      <c r="J170" s="243">
        <v>9.5</v>
      </c>
      <c r="K170" s="241">
        <v>6.8</v>
      </c>
      <c r="L170" s="242">
        <v>9.1</v>
      </c>
      <c r="M170" s="243">
        <v>12.2</v>
      </c>
      <c r="N170" s="241">
        <v>10.5</v>
      </c>
      <c r="O170" s="242">
        <v>14.9</v>
      </c>
      <c r="P170" s="243">
        <v>20.7</v>
      </c>
      <c r="Z170" s="244">
        <f t="shared" si="7"/>
        <v>17.399999999999981</v>
      </c>
      <c r="AA170" s="376">
        <f t="shared" si="8"/>
        <v>8.3024363825785655E-4</v>
      </c>
    </row>
    <row r="171" spans="1:27">
      <c r="A171" s="244">
        <f t="shared" si="6"/>
        <v>17.499999999999982</v>
      </c>
      <c r="B171" s="241">
        <v>4.8</v>
      </c>
      <c r="C171" s="242">
        <v>6</v>
      </c>
      <c r="D171" s="243">
        <v>7.6</v>
      </c>
      <c r="E171" s="241">
        <v>5.0999999999999996</v>
      </c>
      <c r="F171" s="242">
        <v>6.5</v>
      </c>
      <c r="G171" s="243">
        <v>8.4</v>
      </c>
      <c r="H171" s="241">
        <v>5.6</v>
      </c>
      <c r="I171" s="242">
        <v>7.3</v>
      </c>
      <c r="J171" s="243">
        <v>9.6</v>
      </c>
      <c r="K171" s="241">
        <v>6.8</v>
      </c>
      <c r="L171" s="242">
        <v>9.1999999999999993</v>
      </c>
      <c r="M171" s="243">
        <v>12.4</v>
      </c>
      <c r="N171" s="241">
        <v>10.6</v>
      </c>
      <c r="O171" s="242">
        <v>15.1</v>
      </c>
      <c r="P171" s="243">
        <v>21.2</v>
      </c>
      <c r="Z171" s="244">
        <f t="shared" si="7"/>
        <v>17.499999999999982</v>
      </c>
      <c r="AA171" s="376">
        <f t="shared" si="8"/>
        <v>8.1726209271858197E-4</v>
      </c>
    </row>
    <row r="172" spans="1:27">
      <c r="A172" s="244">
        <f t="shared" si="6"/>
        <v>17.599999999999984</v>
      </c>
      <c r="B172" s="241">
        <v>4.8</v>
      </c>
      <c r="C172" s="242">
        <v>6.1</v>
      </c>
      <c r="D172" s="243">
        <v>7.7</v>
      </c>
      <c r="E172" s="241">
        <v>5.0999999999999996</v>
      </c>
      <c r="F172" s="242">
        <v>6.6</v>
      </c>
      <c r="G172" s="243">
        <v>8.5</v>
      </c>
      <c r="H172" s="241">
        <v>5.7</v>
      </c>
      <c r="I172" s="242">
        <v>7.4</v>
      </c>
      <c r="J172" s="243">
        <v>9.8000000000000007</v>
      </c>
      <c r="K172" s="241">
        <v>6.9</v>
      </c>
      <c r="L172" s="242">
        <v>9.4</v>
      </c>
      <c r="M172" s="243">
        <v>12.7</v>
      </c>
      <c r="N172" s="241">
        <v>10.6</v>
      </c>
      <c r="O172" s="242">
        <v>15.4</v>
      </c>
      <c r="P172" s="243">
        <v>21.6</v>
      </c>
      <c r="Z172" s="244">
        <f t="shared" si="7"/>
        <v>17.599999999999984</v>
      </c>
      <c r="AA172" s="376">
        <f t="shared" si="8"/>
        <v>8.0455576813390792E-4</v>
      </c>
    </row>
    <row r="173" spans="1:27">
      <c r="A173" s="244">
        <f t="shared" si="6"/>
        <v>17.699999999999985</v>
      </c>
      <c r="B173" s="241">
        <v>4.8</v>
      </c>
      <c r="C173" s="242">
        <v>6.1</v>
      </c>
      <c r="D173" s="243">
        <v>7.9</v>
      </c>
      <c r="E173" s="241">
        <v>5.0999999999999996</v>
      </c>
      <c r="F173" s="242">
        <v>6.6</v>
      </c>
      <c r="G173" s="243">
        <v>8.6999999999999993</v>
      </c>
      <c r="H173" s="241">
        <v>5.7</v>
      </c>
      <c r="I173" s="242">
        <v>7.5</v>
      </c>
      <c r="J173" s="243">
        <v>10</v>
      </c>
      <c r="K173" s="241">
        <v>6.9</v>
      </c>
      <c r="L173" s="242">
        <v>9.5</v>
      </c>
      <c r="M173" s="243">
        <v>12.9</v>
      </c>
      <c r="N173" s="241">
        <v>10.7</v>
      </c>
      <c r="O173" s="242">
        <v>15.6</v>
      </c>
      <c r="P173" s="243">
        <v>22.1</v>
      </c>
      <c r="Z173" s="244">
        <f t="shared" si="7"/>
        <v>17.699999999999985</v>
      </c>
      <c r="AA173" s="376">
        <f t="shared" si="8"/>
        <v>7.9211731516065393E-4</v>
      </c>
    </row>
    <row r="174" spans="1:27">
      <c r="A174" s="244">
        <f t="shared" si="6"/>
        <v>17.799999999999986</v>
      </c>
      <c r="B174" s="241">
        <v>4.8</v>
      </c>
      <c r="C174" s="242">
        <v>6.2</v>
      </c>
      <c r="D174" s="243">
        <v>8</v>
      </c>
      <c r="E174" s="241">
        <v>5.2</v>
      </c>
      <c r="F174" s="242">
        <v>6.7</v>
      </c>
      <c r="G174" s="243">
        <v>8.8000000000000007</v>
      </c>
      <c r="H174" s="241">
        <v>5.7</v>
      </c>
      <c r="I174" s="242">
        <v>7.6</v>
      </c>
      <c r="J174" s="243">
        <v>10.199999999999999</v>
      </c>
      <c r="K174" s="241">
        <v>6.9</v>
      </c>
      <c r="L174" s="242">
        <v>9.6</v>
      </c>
      <c r="M174" s="243">
        <v>13.2</v>
      </c>
      <c r="N174" s="241">
        <v>10.8</v>
      </c>
      <c r="O174" s="242">
        <v>15.9</v>
      </c>
      <c r="P174" s="243">
        <v>22.6</v>
      </c>
      <c r="Z174" s="244">
        <f t="shared" si="7"/>
        <v>17.799999999999986</v>
      </c>
      <c r="AA174" s="376">
        <f t="shared" si="8"/>
        <v>7.7993962069548329E-4</v>
      </c>
    </row>
    <row r="175" spans="1:27">
      <c r="A175" s="244">
        <f t="shared" si="6"/>
        <v>17.899999999999988</v>
      </c>
      <c r="B175" s="241">
        <v>4.8</v>
      </c>
      <c r="C175" s="242">
        <v>6.3</v>
      </c>
      <c r="D175" s="243">
        <v>8.1999999999999993</v>
      </c>
      <c r="E175" s="241">
        <v>5.2</v>
      </c>
      <c r="F175" s="242">
        <v>6.8</v>
      </c>
      <c r="G175" s="243">
        <v>9</v>
      </c>
      <c r="H175" s="241">
        <v>5.7</v>
      </c>
      <c r="I175" s="242">
        <v>7.7</v>
      </c>
      <c r="J175" s="243">
        <v>10.4</v>
      </c>
      <c r="K175" s="241">
        <v>7</v>
      </c>
      <c r="L175" s="242">
        <v>9.8000000000000007</v>
      </c>
      <c r="M175" s="243">
        <v>13.5</v>
      </c>
      <c r="N175" s="241">
        <v>10.8</v>
      </c>
      <c r="O175" s="242">
        <v>16.100000000000001</v>
      </c>
      <c r="P175" s="243">
        <v>23.1</v>
      </c>
      <c r="Z175" s="244">
        <f t="shared" si="7"/>
        <v>17.899999999999988</v>
      </c>
      <c r="AA175" s="376">
        <f t="shared" si="8"/>
        <v>7.6801579901006713E-4</v>
      </c>
    </row>
    <row r="176" spans="1:27">
      <c r="A176" s="244">
        <f t="shared" si="6"/>
        <v>17.999999999999989</v>
      </c>
      <c r="B176" s="241">
        <v>4.9000000000000004</v>
      </c>
      <c r="C176" s="242">
        <v>6.3</v>
      </c>
      <c r="D176" s="243">
        <v>8.3000000000000007</v>
      </c>
      <c r="E176" s="241">
        <v>5.2</v>
      </c>
      <c r="F176" s="242">
        <v>6.9</v>
      </c>
      <c r="G176" s="243">
        <v>9.1999999999999993</v>
      </c>
      <c r="H176" s="241">
        <v>5.8</v>
      </c>
      <c r="I176" s="242">
        <v>7.8</v>
      </c>
      <c r="J176" s="243">
        <v>10.6</v>
      </c>
      <c r="K176" s="241">
        <v>7</v>
      </c>
      <c r="L176" s="242">
        <v>9.9</v>
      </c>
      <c r="M176" s="243">
        <v>13.8</v>
      </c>
      <c r="N176" s="241">
        <v>10.9</v>
      </c>
      <c r="O176" s="242">
        <v>16.399999999999999</v>
      </c>
      <c r="P176" s="243">
        <v>23.7</v>
      </c>
      <c r="Z176" s="244">
        <f t="shared" si="7"/>
        <v>17.999999999999989</v>
      </c>
      <c r="AA176" s="376">
        <f t="shared" si="8"/>
        <v>7.5633918326606852E-4</v>
      </c>
    </row>
    <row r="177" spans="1:27">
      <c r="A177" s="244">
        <f t="shared" si="6"/>
        <v>18.099999999999991</v>
      </c>
      <c r="B177" s="241">
        <v>4.9000000000000004</v>
      </c>
      <c r="C177" s="242">
        <v>6.4</v>
      </c>
      <c r="D177" s="243">
        <v>8.5</v>
      </c>
      <c r="E177" s="241">
        <v>5.2</v>
      </c>
      <c r="F177" s="242">
        <v>7</v>
      </c>
      <c r="G177" s="243">
        <v>9.4</v>
      </c>
      <c r="H177" s="241">
        <v>5.8</v>
      </c>
      <c r="I177" s="242">
        <v>7.9</v>
      </c>
      <c r="J177" s="243">
        <v>10.8</v>
      </c>
      <c r="K177" s="241">
        <v>7</v>
      </c>
      <c r="L177" s="242">
        <v>10.1</v>
      </c>
      <c r="M177" s="243">
        <v>14.1</v>
      </c>
      <c r="N177" s="241">
        <v>11</v>
      </c>
      <c r="O177" s="242">
        <v>16.7</v>
      </c>
      <c r="P177" s="243">
        <v>24.3</v>
      </c>
      <c r="Z177" s="244">
        <f t="shared" si="7"/>
        <v>18.099999999999991</v>
      </c>
      <c r="AA177" s="376">
        <f t="shared" si="8"/>
        <v>7.4490331739167392E-4</v>
      </c>
    </row>
    <row r="178" spans="1:27">
      <c r="A178" s="244">
        <f t="shared" si="6"/>
        <v>18.199999999999992</v>
      </c>
      <c r="B178" s="241">
        <v>4.9000000000000004</v>
      </c>
      <c r="C178" s="242">
        <v>6.5</v>
      </c>
      <c r="D178" s="243">
        <v>8.6</v>
      </c>
      <c r="E178" s="241">
        <v>5.2</v>
      </c>
      <c r="F178" s="242">
        <v>7.1</v>
      </c>
      <c r="G178" s="243">
        <v>9.6</v>
      </c>
      <c r="H178" s="241">
        <v>5.8</v>
      </c>
      <c r="I178" s="242">
        <v>8.1</v>
      </c>
      <c r="J178" s="243">
        <v>11.1</v>
      </c>
      <c r="K178" s="241">
        <v>7.1</v>
      </c>
      <c r="L178" s="242">
        <v>10.199999999999999</v>
      </c>
      <c r="M178" s="243">
        <v>14.5</v>
      </c>
      <c r="N178" s="241">
        <v>11</v>
      </c>
      <c r="O178" s="242">
        <v>17</v>
      </c>
      <c r="P178" s="243">
        <v>24.9</v>
      </c>
      <c r="Z178" s="244">
        <f t="shared" si="7"/>
        <v>18.199999999999992</v>
      </c>
      <c r="AA178" s="376">
        <f t="shared" si="8"/>
        <v>7.3370194830237078E-4</v>
      </c>
    </row>
    <row r="179" spans="1:27">
      <c r="A179" s="244">
        <f t="shared" si="6"/>
        <v>18.299999999999994</v>
      </c>
      <c r="B179" s="241">
        <v>4.9000000000000004</v>
      </c>
      <c r="C179" s="242">
        <v>6.6</v>
      </c>
      <c r="D179" s="243">
        <v>8.8000000000000007</v>
      </c>
      <c r="E179" s="241">
        <v>5.3</v>
      </c>
      <c r="F179" s="242">
        <v>7.2</v>
      </c>
      <c r="G179" s="243">
        <v>9.8000000000000007</v>
      </c>
      <c r="H179" s="241">
        <v>5.8</v>
      </c>
      <c r="I179" s="242">
        <v>8.1999999999999993</v>
      </c>
      <c r="J179" s="243">
        <v>11.3</v>
      </c>
      <c r="K179" s="241">
        <v>7.1</v>
      </c>
      <c r="L179" s="242">
        <v>10.4</v>
      </c>
      <c r="M179" s="243">
        <v>14.8</v>
      </c>
      <c r="N179" s="241">
        <v>11.1</v>
      </c>
      <c r="O179" s="242">
        <v>17.399999999999999</v>
      </c>
      <c r="P179" s="243">
        <v>25.5</v>
      </c>
      <c r="Z179" s="244">
        <f t="shared" si="7"/>
        <v>18.299999999999994</v>
      </c>
      <c r="AA179" s="376">
        <f t="shared" si="8"/>
        <v>7.227290184495949E-4</v>
      </c>
    </row>
    <row r="180" spans="1:27">
      <c r="A180" s="244">
        <f t="shared" si="6"/>
        <v>18.399999999999995</v>
      </c>
      <c r="B180" s="241">
        <v>4.9000000000000004</v>
      </c>
      <c r="C180" s="242">
        <v>6.7</v>
      </c>
      <c r="D180" s="243">
        <v>9</v>
      </c>
      <c r="E180" s="241">
        <v>5.3</v>
      </c>
      <c r="F180" s="242">
        <v>7.3</v>
      </c>
      <c r="G180" s="243">
        <v>10</v>
      </c>
      <c r="H180" s="241">
        <v>5.9</v>
      </c>
      <c r="I180" s="242">
        <v>8.3000000000000007</v>
      </c>
      <c r="J180" s="243">
        <v>11.6</v>
      </c>
      <c r="K180" s="241">
        <v>7.2</v>
      </c>
      <c r="L180" s="242">
        <v>10.6</v>
      </c>
      <c r="M180" s="243">
        <v>15.2</v>
      </c>
      <c r="N180" s="241">
        <v>11.2</v>
      </c>
      <c r="O180" s="242">
        <v>17.7</v>
      </c>
      <c r="P180" s="243">
        <v>26.2</v>
      </c>
      <c r="Z180" s="244">
        <f t="shared" si="7"/>
        <v>18.399999999999995</v>
      </c>
      <c r="AA180" s="376">
        <f t="shared" si="8"/>
        <v>7.119786586817277E-4</v>
      </c>
    </row>
    <row r="181" spans="1:27">
      <c r="A181" s="244">
        <f t="shared" si="6"/>
        <v>18.499999999999996</v>
      </c>
      <c r="B181" s="241">
        <v>5</v>
      </c>
      <c r="C181" s="242">
        <v>6.8</v>
      </c>
      <c r="D181" s="243">
        <v>9.1999999999999993</v>
      </c>
      <c r="E181" s="241">
        <v>5.3</v>
      </c>
      <c r="F181" s="242">
        <v>7.4</v>
      </c>
      <c r="G181" s="243">
        <v>10.199999999999999</v>
      </c>
      <c r="H181" s="241">
        <v>5.9</v>
      </c>
      <c r="I181" s="242">
        <v>8.5</v>
      </c>
      <c r="J181" s="243">
        <v>11.9</v>
      </c>
      <c r="K181" s="241">
        <v>7.2</v>
      </c>
      <c r="L181" s="242">
        <v>10.8</v>
      </c>
      <c r="M181" s="243">
        <v>15.6</v>
      </c>
      <c r="N181" s="241">
        <v>11.3</v>
      </c>
      <c r="O181" s="242">
        <v>18.100000000000001</v>
      </c>
      <c r="P181" s="243">
        <v>27</v>
      </c>
      <c r="Z181" s="244">
        <f t="shared" si="7"/>
        <v>18.499999999999996</v>
      </c>
      <c r="AA181" s="376">
        <f t="shared" si="8"/>
        <v>7.0144518140273905E-4</v>
      </c>
    </row>
    <row r="182" spans="1:27">
      <c r="A182" s="244">
        <f t="shared" si="6"/>
        <v>18.599999999999998</v>
      </c>
      <c r="B182" s="241">
        <v>5</v>
      </c>
      <c r="C182" s="242">
        <v>6.9</v>
      </c>
      <c r="D182" s="243">
        <v>9.4</v>
      </c>
      <c r="E182" s="241">
        <v>5.3</v>
      </c>
      <c r="F182" s="242">
        <v>7.5</v>
      </c>
      <c r="G182" s="243">
        <v>10.5</v>
      </c>
      <c r="H182" s="241">
        <v>5.9</v>
      </c>
      <c r="I182" s="242">
        <v>8.6</v>
      </c>
      <c r="J182" s="243">
        <v>12.2</v>
      </c>
      <c r="K182" s="241">
        <v>7.3</v>
      </c>
      <c r="L182" s="242">
        <v>11</v>
      </c>
      <c r="M182" s="243">
        <v>16</v>
      </c>
      <c r="N182" s="241">
        <v>11.4</v>
      </c>
      <c r="O182" s="242">
        <v>18.5</v>
      </c>
      <c r="P182" s="243">
        <v>27.8</v>
      </c>
      <c r="Z182" s="244">
        <f t="shared" si="7"/>
        <v>18.599999999999998</v>
      </c>
      <c r="AA182" s="376">
        <f t="shared" si="8"/>
        <v>6.9112307401454414E-4</v>
      </c>
    </row>
    <row r="183" spans="1:27">
      <c r="A183" s="244">
        <f t="shared" si="6"/>
        <v>18.7</v>
      </c>
      <c r="B183" s="241">
        <v>5</v>
      </c>
      <c r="C183" s="242">
        <v>7</v>
      </c>
      <c r="D183" s="243">
        <v>9.6999999999999993</v>
      </c>
      <c r="E183" s="241">
        <v>5.4</v>
      </c>
      <c r="F183" s="242">
        <v>7.7</v>
      </c>
      <c r="G183" s="243">
        <v>10.7</v>
      </c>
      <c r="H183" s="241">
        <v>6</v>
      </c>
      <c r="I183" s="242">
        <v>8.8000000000000007</v>
      </c>
      <c r="J183" s="243">
        <v>12.5</v>
      </c>
      <c r="K183" s="241">
        <v>7.3</v>
      </c>
      <c r="L183" s="242">
        <v>11.2</v>
      </c>
      <c r="M183" s="243">
        <v>16.5</v>
      </c>
      <c r="N183" s="241">
        <v>11.5</v>
      </c>
      <c r="O183" s="242">
        <v>18.899999999999999</v>
      </c>
      <c r="P183" s="243">
        <v>28.6</v>
      </c>
      <c r="Z183" s="244">
        <f t="shared" si="7"/>
        <v>18.7</v>
      </c>
      <c r="AA183" s="376">
        <f t="shared" si="8"/>
        <v>6.8100699262985587E-4</v>
      </c>
    </row>
    <row r="184" spans="1:27">
      <c r="A184" s="244">
        <f t="shared" si="6"/>
        <v>18.8</v>
      </c>
      <c r="B184" s="241">
        <v>5</v>
      </c>
      <c r="C184" s="242">
        <v>7.1</v>
      </c>
      <c r="D184" s="243">
        <v>9.9</v>
      </c>
      <c r="E184" s="241">
        <v>5.4</v>
      </c>
      <c r="F184" s="242">
        <v>7.8</v>
      </c>
      <c r="G184" s="243">
        <v>11</v>
      </c>
      <c r="H184" s="241">
        <v>6</v>
      </c>
      <c r="I184" s="242">
        <v>8.9</v>
      </c>
      <c r="J184" s="243">
        <v>12.8</v>
      </c>
      <c r="K184" s="241">
        <v>7.4</v>
      </c>
      <c r="L184" s="242">
        <v>11.5</v>
      </c>
      <c r="M184" s="243">
        <v>16.899999999999999</v>
      </c>
      <c r="N184" s="241">
        <v>11.6</v>
      </c>
      <c r="O184" s="242">
        <v>19.3</v>
      </c>
      <c r="P184" s="243">
        <v>29.4</v>
      </c>
      <c r="Z184" s="244">
        <f t="shared" si="7"/>
        <v>18.8</v>
      </c>
      <c r="AA184" s="376">
        <f t="shared" si="8"/>
        <v>6.7109175604300789E-4</v>
      </c>
    </row>
    <row r="185" spans="1:27">
      <c r="A185" s="244">
        <f t="shared" si="6"/>
        <v>18.900000000000002</v>
      </c>
      <c r="B185" s="241">
        <v>5.0999999999999996</v>
      </c>
      <c r="C185" s="242">
        <v>7.3</v>
      </c>
      <c r="D185" s="243">
        <v>10.199999999999999</v>
      </c>
      <c r="E185" s="241">
        <v>5.4</v>
      </c>
      <c r="F185" s="242">
        <v>8</v>
      </c>
      <c r="G185" s="243">
        <v>11.3</v>
      </c>
      <c r="H185" s="241">
        <v>6</v>
      </c>
      <c r="I185" s="242">
        <v>9.1</v>
      </c>
      <c r="J185" s="243">
        <v>13.2</v>
      </c>
      <c r="K185" s="241">
        <v>7.4</v>
      </c>
      <c r="L185" s="242">
        <v>11.7</v>
      </c>
      <c r="M185" s="243">
        <v>17.399999999999999</v>
      </c>
      <c r="N185" s="241">
        <v>11.7</v>
      </c>
      <c r="O185" s="242">
        <v>19.8</v>
      </c>
      <c r="P185" s="243">
        <v>30.4</v>
      </c>
      <c r="Z185" s="244">
        <f t="shared" si="7"/>
        <v>18.900000000000002</v>
      </c>
      <c r="AA185" s="376">
        <f t="shared" si="8"/>
        <v>6.6137233994685346E-4</v>
      </c>
    </row>
    <row r="186" spans="1:27">
      <c r="A186" s="244">
        <f t="shared" si="6"/>
        <v>19.000000000000004</v>
      </c>
      <c r="B186" s="241">
        <v>5.0999999999999996</v>
      </c>
      <c r="C186" s="242">
        <v>7.4</v>
      </c>
      <c r="D186" s="243">
        <v>10.4</v>
      </c>
      <c r="E186" s="241">
        <v>5.5</v>
      </c>
      <c r="F186" s="242">
        <v>8.1</v>
      </c>
      <c r="G186" s="243">
        <v>11.6</v>
      </c>
      <c r="H186" s="241">
        <v>6.1</v>
      </c>
      <c r="I186" s="242">
        <v>9.3000000000000007</v>
      </c>
      <c r="J186" s="243">
        <v>13.6</v>
      </c>
      <c r="K186" s="241">
        <v>7.5</v>
      </c>
      <c r="L186" s="242">
        <v>12</v>
      </c>
      <c r="M186" s="243">
        <v>18</v>
      </c>
      <c r="N186" s="241">
        <v>11.8</v>
      </c>
      <c r="O186" s="242">
        <v>20.3</v>
      </c>
      <c r="P186" s="243">
        <v>31.3</v>
      </c>
      <c r="Z186" s="244">
        <f t="shared" si="7"/>
        <v>19.000000000000004</v>
      </c>
      <c r="AA186" s="376">
        <f t="shared" si="8"/>
        <v>6.5184387138446842E-4</v>
      </c>
    </row>
    <row r="187" spans="1:27">
      <c r="A187" s="244">
        <f t="shared" si="6"/>
        <v>19.100000000000005</v>
      </c>
      <c r="B187" s="241">
        <v>5.0999999999999996</v>
      </c>
      <c r="C187" s="242">
        <v>7.5</v>
      </c>
      <c r="D187" s="243">
        <v>10.7</v>
      </c>
      <c r="E187" s="241">
        <v>5.5</v>
      </c>
      <c r="F187" s="242">
        <v>8.3000000000000007</v>
      </c>
      <c r="G187" s="243">
        <v>12</v>
      </c>
      <c r="H187" s="241">
        <v>6.1</v>
      </c>
      <c r="I187" s="242">
        <v>9.5</v>
      </c>
      <c r="J187" s="243">
        <v>14</v>
      </c>
      <c r="K187" s="241">
        <v>7.5</v>
      </c>
      <c r="L187" s="242">
        <v>12.3</v>
      </c>
      <c r="M187" s="243">
        <v>18.5</v>
      </c>
      <c r="N187" s="241">
        <v>11.9</v>
      </c>
      <c r="O187" s="242">
        <v>20.8</v>
      </c>
      <c r="P187" s="243">
        <v>32.4</v>
      </c>
      <c r="Z187" s="244">
        <f t="shared" si="7"/>
        <v>19.100000000000005</v>
      </c>
      <c r="AA187" s="376">
        <f t="shared" si="8"/>
        <v>6.4250162342494347E-4</v>
      </c>
    </row>
    <row r="188" spans="1:27">
      <c r="A188" s="244">
        <f t="shared" si="6"/>
        <v>19.200000000000006</v>
      </c>
      <c r="B188" s="241">
        <v>5.2</v>
      </c>
      <c r="C188" s="242">
        <v>7.7</v>
      </c>
      <c r="D188" s="243">
        <v>11.1</v>
      </c>
      <c r="E188" s="241">
        <v>5.5</v>
      </c>
      <c r="F188" s="242">
        <v>8.4</v>
      </c>
      <c r="G188" s="243">
        <v>12.3</v>
      </c>
      <c r="H188" s="241">
        <v>6.2</v>
      </c>
      <c r="I188" s="242">
        <v>9.6999999999999993</v>
      </c>
      <c r="J188" s="243">
        <v>14.4</v>
      </c>
      <c r="K188" s="241">
        <v>7.6</v>
      </c>
      <c r="L188" s="242">
        <v>12.6</v>
      </c>
      <c r="M188" s="243">
        <v>19.100000000000001</v>
      </c>
      <c r="N188" s="241">
        <v>12</v>
      </c>
      <c r="O188" s="242">
        <v>21.4</v>
      </c>
      <c r="P188" s="243">
        <v>33.5</v>
      </c>
      <c r="Z188" s="244">
        <f t="shared" si="7"/>
        <v>19.200000000000006</v>
      </c>
      <c r="AA188" s="376">
        <f t="shared" si="8"/>
        <v>6.3334101005310586E-4</v>
      </c>
    </row>
    <row r="189" spans="1:27">
      <c r="A189" s="244">
        <f t="shared" si="6"/>
        <v>19.300000000000008</v>
      </c>
      <c r="B189" s="241">
        <v>5.2</v>
      </c>
      <c r="C189" s="242">
        <v>7.8</v>
      </c>
      <c r="D189" s="243">
        <v>11.4</v>
      </c>
      <c r="E189" s="241">
        <v>5.6</v>
      </c>
      <c r="F189" s="242">
        <v>8.6</v>
      </c>
      <c r="G189" s="243">
        <v>12.7</v>
      </c>
      <c r="H189" s="241">
        <v>6.2</v>
      </c>
      <c r="I189" s="242">
        <v>9.9</v>
      </c>
      <c r="J189" s="243">
        <v>14.9</v>
      </c>
      <c r="K189" s="241">
        <v>7.6</v>
      </c>
      <c r="L189" s="242">
        <v>12.9</v>
      </c>
      <c r="M189" s="243">
        <v>19.8</v>
      </c>
      <c r="N189" s="241">
        <v>12.1</v>
      </c>
      <c r="O189" s="242">
        <v>22</v>
      </c>
      <c r="P189" s="243">
        <v>34.700000000000003</v>
      </c>
      <c r="Z189" s="244">
        <f t="shared" si="7"/>
        <v>19.300000000000008</v>
      </c>
      <c r="AA189" s="376">
        <f t="shared" si="8"/>
        <v>6.2435758126351255E-4</v>
      </c>
    </row>
    <row r="190" spans="1:27">
      <c r="A190" s="244">
        <f t="shared" si="6"/>
        <v>19.400000000000009</v>
      </c>
      <c r="B190" s="241">
        <v>5.2</v>
      </c>
      <c r="C190" s="242">
        <v>8</v>
      </c>
      <c r="D190" s="243">
        <v>11.7</v>
      </c>
      <c r="E190" s="241">
        <v>5.6</v>
      </c>
      <c r="F190" s="242">
        <v>8.8000000000000007</v>
      </c>
      <c r="G190" s="243">
        <v>13.1</v>
      </c>
      <c r="H190" s="241">
        <v>6.3</v>
      </c>
      <c r="I190" s="242">
        <v>10.199999999999999</v>
      </c>
      <c r="J190" s="243">
        <v>15.4</v>
      </c>
      <c r="K190" s="241">
        <v>7.7</v>
      </c>
      <c r="L190" s="242">
        <v>13.2</v>
      </c>
      <c r="M190" s="243">
        <v>20.5</v>
      </c>
      <c r="N190" s="241">
        <v>12.2</v>
      </c>
      <c r="O190" s="242">
        <v>22.6</v>
      </c>
      <c r="P190" s="243">
        <v>35.9</v>
      </c>
      <c r="Z190" s="244">
        <f t="shared" si="7"/>
        <v>19.400000000000009</v>
      </c>
      <c r="AA190" s="376">
        <f t="shared" si="8"/>
        <v>6.155470183495423E-4</v>
      </c>
    </row>
    <row r="191" spans="1:27">
      <c r="A191" s="244">
        <f t="shared" si="6"/>
        <v>19.500000000000011</v>
      </c>
      <c r="B191" s="241">
        <v>5.3</v>
      </c>
      <c r="C191" s="242">
        <v>8.1999999999999993</v>
      </c>
      <c r="D191" s="243">
        <v>12.1</v>
      </c>
      <c r="E191" s="241">
        <v>5.7</v>
      </c>
      <c r="F191" s="242">
        <v>9</v>
      </c>
      <c r="G191" s="243">
        <v>13.5</v>
      </c>
      <c r="H191" s="241">
        <v>6.3</v>
      </c>
      <c r="I191" s="242">
        <v>10.4</v>
      </c>
      <c r="J191" s="243">
        <v>15.9</v>
      </c>
      <c r="K191" s="241">
        <v>7.8</v>
      </c>
      <c r="L191" s="242">
        <v>13.6</v>
      </c>
      <c r="M191" s="243">
        <v>21.2</v>
      </c>
      <c r="N191" s="241">
        <v>12.4</v>
      </c>
      <c r="O191" s="242">
        <v>23.3</v>
      </c>
      <c r="P191" s="243">
        <v>37.200000000000003</v>
      </c>
      <c r="Z191" s="244">
        <f t="shared" si="7"/>
        <v>19.500000000000011</v>
      </c>
      <c r="AA191" s="376">
        <f t="shared" si="8"/>
        <v>6.0690512937887678E-4</v>
      </c>
    </row>
    <row r="192" spans="1:27">
      <c r="A192" s="244">
        <f t="shared" si="6"/>
        <v>19.600000000000012</v>
      </c>
      <c r="B192" s="241">
        <v>5.3</v>
      </c>
      <c r="C192" s="242">
        <v>8.4</v>
      </c>
      <c r="D192" s="243">
        <v>12.5</v>
      </c>
      <c r="E192" s="241">
        <v>5.7</v>
      </c>
      <c r="F192" s="242">
        <v>9.3000000000000007</v>
      </c>
      <c r="G192" s="243">
        <v>14</v>
      </c>
      <c r="H192" s="241">
        <v>6.4</v>
      </c>
      <c r="I192" s="242">
        <v>10.7</v>
      </c>
      <c r="J192" s="243">
        <v>16.5</v>
      </c>
      <c r="K192" s="241">
        <v>7.9</v>
      </c>
      <c r="L192" s="242">
        <v>14</v>
      </c>
      <c r="M192" s="243">
        <v>22</v>
      </c>
      <c r="N192" s="241">
        <v>12.5</v>
      </c>
      <c r="O192" s="242">
        <v>24</v>
      </c>
      <c r="P192" s="243">
        <v>38.6</v>
      </c>
      <c r="Z192" s="244">
        <f t="shared" si="7"/>
        <v>19.600000000000012</v>
      </c>
      <c r="AA192" s="376">
        <f t="shared" si="8"/>
        <v>5.9842784484708173E-4</v>
      </c>
    </row>
    <row r="193" spans="1:27">
      <c r="A193" s="244">
        <f t="shared" si="6"/>
        <v>19.700000000000014</v>
      </c>
      <c r="B193" s="241">
        <v>5.3</v>
      </c>
      <c r="C193" s="242">
        <v>8.6</v>
      </c>
      <c r="D193" s="243">
        <v>12.9</v>
      </c>
      <c r="E193" s="241">
        <v>5.7</v>
      </c>
      <c r="F193" s="242">
        <v>9.5</v>
      </c>
      <c r="G193" s="243">
        <v>14.5</v>
      </c>
      <c r="H193" s="241">
        <v>6.4</v>
      </c>
      <c r="I193" s="242">
        <v>11</v>
      </c>
      <c r="J193" s="243">
        <v>17.100000000000001</v>
      </c>
      <c r="K193" s="241">
        <v>7.9</v>
      </c>
      <c r="L193" s="242">
        <v>14.4</v>
      </c>
      <c r="M193" s="243">
        <v>22.8</v>
      </c>
      <c r="N193" s="241">
        <v>12.7</v>
      </c>
      <c r="O193" s="242">
        <v>24.7</v>
      </c>
      <c r="P193" s="243">
        <v>40.1</v>
      </c>
      <c r="Z193" s="244">
        <f t="shared" si="7"/>
        <v>19.700000000000014</v>
      </c>
      <c r="AA193" s="376">
        <f t="shared" si="8"/>
        <v>5.9011121350141396E-4</v>
      </c>
    </row>
    <row r="194" spans="1:27">
      <c r="A194" s="244">
        <f t="shared" si="6"/>
        <v>19.800000000000015</v>
      </c>
      <c r="B194" s="241">
        <v>5.4</v>
      </c>
      <c r="C194" s="242">
        <v>8.8000000000000007</v>
      </c>
      <c r="D194" s="243">
        <v>13.4</v>
      </c>
      <c r="E194" s="241">
        <v>5.8</v>
      </c>
      <c r="F194" s="242">
        <v>9.6999999999999993</v>
      </c>
      <c r="G194" s="243">
        <v>15</v>
      </c>
      <c r="H194" s="241">
        <v>6.5</v>
      </c>
      <c r="I194" s="242">
        <v>11.3</v>
      </c>
      <c r="J194" s="243">
        <v>17.7</v>
      </c>
      <c r="K194" s="241">
        <v>8</v>
      </c>
      <c r="L194" s="242">
        <v>14.8</v>
      </c>
      <c r="M194" s="243">
        <v>23.7</v>
      </c>
      <c r="N194" s="241">
        <v>12.8</v>
      </c>
      <c r="O194" s="242">
        <v>25.5</v>
      </c>
      <c r="P194" s="243">
        <v>41.7</v>
      </c>
      <c r="Z194" s="244">
        <f t="shared" si="7"/>
        <v>19.800000000000015</v>
      </c>
      <c r="AA194" s="376">
        <f t="shared" si="8"/>
        <v>5.8195139832736798E-4</v>
      </c>
    </row>
    <row r="195" spans="1:27">
      <c r="A195" s="244">
        <f t="shared" si="6"/>
        <v>19.900000000000016</v>
      </c>
      <c r="B195" s="241">
        <v>5.4</v>
      </c>
      <c r="C195" s="242">
        <v>9</v>
      </c>
      <c r="D195" s="243">
        <v>13.9</v>
      </c>
      <c r="E195" s="241">
        <v>5.8</v>
      </c>
      <c r="F195" s="242">
        <v>10</v>
      </c>
      <c r="G195" s="243">
        <v>15.6</v>
      </c>
      <c r="H195" s="241">
        <v>6.5</v>
      </c>
      <c r="I195" s="242">
        <v>11.6</v>
      </c>
      <c r="J195" s="243">
        <v>18.399999999999999</v>
      </c>
      <c r="K195" s="241">
        <v>8.1</v>
      </c>
      <c r="L195" s="242">
        <v>15.2</v>
      </c>
      <c r="M195" s="243">
        <v>24.6</v>
      </c>
      <c r="N195" s="241">
        <v>13</v>
      </c>
      <c r="O195" s="242">
        <v>26.3</v>
      </c>
      <c r="P195" s="243">
        <v>43.4</v>
      </c>
      <c r="Z195" s="244">
        <f t="shared" si="7"/>
        <v>19.900000000000016</v>
      </c>
      <c r="AA195" s="376">
        <f t="shared" si="8"/>
        <v>5.7394467269083582E-4</v>
      </c>
    </row>
    <row r="196" spans="1:27">
      <c r="A196" s="244">
        <f t="shared" si="6"/>
        <v>20.000000000000018</v>
      </c>
      <c r="B196" s="241">
        <v>5.5</v>
      </c>
      <c r="C196" s="242">
        <v>9.3000000000000007</v>
      </c>
      <c r="D196" s="243">
        <v>14.4</v>
      </c>
      <c r="E196" s="241">
        <v>5.9</v>
      </c>
      <c r="F196" s="242">
        <v>10.3</v>
      </c>
      <c r="G196" s="243">
        <v>16.2</v>
      </c>
      <c r="H196" s="241">
        <v>6.6</v>
      </c>
      <c r="I196" s="242">
        <v>12</v>
      </c>
      <c r="J196" s="243">
        <v>19.100000000000001</v>
      </c>
      <c r="K196" s="241">
        <v>8.1999999999999993</v>
      </c>
      <c r="L196" s="242">
        <v>15.7</v>
      </c>
      <c r="M196" s="243">
        <v>25.6</v>
      </c>
      <c r="N196" s="241">
        <v>13.2</v>
      </c>
      <c r="O196" s="242">
        <v>27.2</v>
      </c>
      <c r="P196" s="243">
        <v>45.2</v>
      </c>
      <c r="Z196" s="244">
        <f t="shared" si="7"/>
        <v>20.000000000000018</v>
      </c>
      <c r="AA196" s="376">
        <f t="shared" si="8"/>
        <v>5.6608741662910053E-4</v>
      </c>
    </row>
    <row r="197" spans="1:27">
      <c r="A197" s="244">
        <f t="shared" si="6"/>
        <v>20.100000000000019</v>
      </c>
      <c r="B197" s="241">
        <v>5.5</v>
      </c>
      <c r="C197" s="242">
        <v>9.6</v>
      </c>
      <c r="D197" s="243">
        <v>15</v>
      </c>
      <c r="E197" s="241">
        <v>6</v>
      </c>
      <c r="F197" s="242">
        <v>10.6</v>
      </c>
      <c r="G197" s="243">
        <v>16.8</v>
      </c>
      <c r="H197" s="241">
        <v>6.7</v>
      </c>
      <c r="I197" s="242">
        <v>12.3</v>
      </c>
      <c r="J197" s="243">
        <v>19.899999999999999</v>
      </c>
      <c r="K197" s="241">
        <v>8.3000000000000007</v>
      </c>
      <c r="L197" s="242">
        <v>16.2</v>
      </c>
      <c r="M197" s="243">
        <v>26.7</v>
      </c>
      <c r="N197" s="241">
        <v>13.4</v>
      </c>
      <c r="O197" s="242">
        <v>28.2</v>
      </c>
      <c r="P197" s="243">
        <v>47.1</v>
      </c>
      <c r="Z197" s="244">
        <f t="shared" si="7"/>
        <v>20.100000000000019</v>
      </c>
      <c r="AA197" s="376">
        <f t="shared" si="8"/>
        <v>5.5837611328421596E-4</v>
      </c>
    </row>
    <row r="198" spans="1:27">
      <c r="A198" s="244">
        <f t="shared" si="6"/>
        <v>20.200000000000021</v>
      </c>
      <c r="B198" s="241">
        <v>5.6</v>
      </c>
      <c r="C198" s="242">
        <v>9.8000000000000007</v>
      </c>
      <c r="D198" s="243">
        <v>15.6</v>
      </c>
      <c r="E198" s="241">
        <v>6</v>
      </c>
      <c r="F198" s="242">
        <v>10.9</v>
      </c>
      <c r="G198" s="243">
        <v>17.5</v>
      </c>
      <c r="H198" s="241">
        <v>6.8</v>
      </c>
      <c r="I198" s="242">
        <v>12.7</v>
      </c>
      <c r="J198" s="243">
        <v>20.7</v>
      </c>
      <c r="K198" s="241">
        <v>8.4</v>
      </c>
      <c r="L198" s="242">
        <v>16.8</v>
      </c>
      <c r="M198" s="243">
        <v>27.8</v>
      </c>
      <c r="N198" s="241">
        <v>13.6</v>
      </c>
      <c r="O198" s="242">
        <v>29.2</v>
      </c>
      <c r="P198" s="243">
        <v>49.1</v>
      </c>
      <c r="Z198" s="244">
        <f t="shared" si="7"/>
        <v>20.200000000000021</v>
      </c>
      <c r="AA198" s="376">
        <f t="shared" si="8"/>
        <v>5.5080734547262983E-4</v>
      </c>
    </row>
    <row r="199" spans="1:27">
      <c r="A199" s="244">
        <f t="shared" ref="A199:A262" si="9">A198+0.1</f>
        <v>20.300000000000022</v>
      </c>
      <c r="B199" s="241">
        <v>5.6</v>
      </c>
      <c r="C199" s="242">
        <v>10.1</v>
      </c>
      <c r="D199" s="243">
        <v>16.2</v>
      </c>
      <c r="E199" s="241">
        <v>6.1</v>
      </c>
      <c r="F199" s="242">
        <v>11.3</v>
      </c>
      <c r="G199" s="243">
        <v>18.2</v>
      </c>
      <c r="H199" s="241">
        <v>6.8</v>
      </c>
      <c r="I199" s="242">
        <v>13.1</v>
      </c>
      <c r="J199" s="243">
        <v>21.6</v>
      </c>
      <c r="K199" s="241">
        <v>8.5</v>
      </c>
      <c r="L199" s="242">
        <v>17.3</v>
      </c>
      <c r="M199" s="243">
        <v>29</v>
      </c>
      <c r="N199" s="241">
        <v>13.8</v>
      </c>
      <c r="O199" s="242">
        <v>30.2</v>
      </c>
      <c r="P199" s="243">
        <v>51.2</v>
      </c>
      <c r="Z199" s="244">
        <f t="shared" ref="Z199:Z262" si="10">Z198+0.1</f>
        <v>20.300000000000022</v>
      </c>
      <c r="AA199" s="376">
        <f t="shared" ref="AA199:AA262" si="11">T_gal(Z199)</f>
        <v>5.433777923852021E-4</v>
      </c>
    </row>
    <row r="200" spans="1:27">
      <c r="A200" s="244">
        <f t="shared" si="9"/>
        <v>20.400000000000023</v>
      </c>
      <c r="B200" s="241">
        <v>5.7</v>
      </c>
      <c r="C200" s="242">
        <v>10.4</v>
      </c>
      <c r="D200" s="243">
        <v>16.899999999999999</v>
      </c>
      <c r="E200" s="241">
        <v>6.1</v>
      </c>
      <c r="F200" s="242">
        <v>11.6</v>
      </c>
      <c r="G200" s="243">
        <v>19</v>
      </c>
      <c r="H200" s="241">
        <v>6.9</v>
      </c>
      <c r="I200" s="242">
        <v>13.6</v>
      </c>
      <c r="J200" s="243">
        <v>22.5</v>
      </c>
      <c r="K200" s="241">
        <v>8.6</v>
      </c>
      <c r="L200" s="242">
        <v>18</v>
      </c>
      <c r="M200" s="243">
        <v>30.3</v>
      </c>
      <c r="N200" s="241">
        <v>14</v>
      </c>
      <c r="O200" s="242">
        <v>31.3</v>
      </c>
      <c r="P200" s="243">
        <v>53.4</v>
      </c>
      <c r="Z200" s="244">
        <f t="shared" si="10"/>
        <v>20.400000000000023</v>
      </c>
      <c r="AA200" s="376">
        <f t="shared" si="11"/>
        <v>5.360842264120531E-4</v>
      </c>
    </row>
    <row r="201" spans="1:27">
      <c r="A201" s="244">
        <f t="shared" si="9"/>
        <v>20.500000000000025</v>
      </c>
      <c r="B201" s="241">
        <v>5.7</v>
      </c>
      <c r="C201" s="242">
        <v>10.8</v>
      </c>
      <c r="D201" s="243">
        <v>17.600000000000001</v>
      </c>
      <c r="E201" s="241">
        <v>6.2</v>
      </c>
      <c r="F201" s="242">
        <v>12</v>
      </c>
      <c r="G201" s="243">
        <v>19.8</v>
      </c>
      <c r="H201" s="241">
        <v>7</v>
      </c>
      <c r="I201" s="242">
        <v>14</v>
      </c>
      <c r="J201" s="243">
        <v>23.5</v>
      </c>
      <c r="K201" s="241">
        <v>8.8000000000000007</v>
      </c>
      <c r="L201" s="242">
        <v>18.600000000000001</v>
      </c>
      <c r="M201" s="243">
        <v>31.7</v>
      </c>
      <c r="N201" s="241">
        <v>14.2</v>
      </c>
      <c r="O201" s="242">
        <v>32.5</v>
      </c>
      <c r="P201" s="243">
        <v>55.8</v>
      </c>
      <c r="Z201" s="244">
        <f t="shared" si="10"/>
        <v>20.500000000000025</v>
      </c>
      <c r="AA201" s="376">
        <f t="shared" si="11"/>
        <v>5.2892351008693237E-4</v>
      </c>
    </row>
    <row r="202" spans="1:27">
      <c r="A202" s="244">
        <f t="shared" si="9"/>
        <v>20.600000000000026</v>
      </c>
      <c r="B202" s="241">
        <v>5.8</v>
      </c>
      <c r="C202" s="242">
        <v>11.1</v>
      </c>
      <c r="D202" s="243">
        <v>18.399999999999999</v>
      </c>
      <c r="E202" s="241">
        <v>6.3</v>
      </c>
      <c r="F202" s="242">
        <v>12.4</v>
      </c>
      <c r="G202" s="243">
        <v>20.7</v>
      </c>
      <c r="H202" s="241">
        <v>7.1</v>
      </c>
      <c r="I202" s="242">
        <v>14.5</v>
      </c>
      <c r="J202" s="243">
        <v>24.6</v>
      </c>
      <c r="K202" s="241">
        <v>8.9</v>
      </c>
      <c r="L202" s="242">
        <v>19.3</v>
      </c>
      <c r="M202" s="243">
        <v>33.1</v>
      </c>
      <c r="N202" s="241">
        <v>14.5</v>
      </c>
      <c r="O202" s="242">
        <v>33.700000000000003</v>
      </c>
      <c r="P202" s="243">
        <v>58.3</v>
      </c>
      <c r="Z202" s="244">
        <f t="shared" si="10"/>
        <v>20.600000000000026</v>
      </c>
      <c r="AA202" s="376">
        <f t="shared" si="11"/>
        <v>5.218925931460552E-4</v>
      </c>
    </row>
    <row r="203" spans="1:27">
      <c r="A203" s="244">
        <f t="shared" si="9"/>
        <v>20.700000000000028</v>
      </c>
      <c r="B203" s="241">
        <v>5.9</v>
      </c>
      <c r="C203" s="242">
        <v>11.5</v>
      </c>
      <c r="D203" s="243">
        <v>19.2</v>
      </c>
      <c r="E203" s="241">
        <v>6.4</v>
      </c>
      <c r="F203" s="242">
        <v>12.8</v>
      </c>
      <c r="G203" s="243">
        <v>21.6</v>
      </c>
      <c r="H203" s="241">
        <v>7.2</v>
      </c>
      <c r="I203" s="242">
        <v>15</v>
      </c>
      <c r="J203" s="243">
        <v>25.7</v>
      </c>
      <c r="K203" s="241">
        <v>9</v>
      </c>
      <c r="L203" s="242">
        <v>20</v>
      </c>
      <c r="M203" s="243">
        <v>34.6</v>
      </c>
      <c r="N203" s="241">
        <v>14.7</v>
      </c>
      <c r="O203" s="242">
        <v>35</v>
      </c>
      <c r="P203" s="243">
        <v>60.9</v>
      </c>
      <c r="Z203" s="244">
        <f t="shared" si="10"/>
        <v>20.700000000000028</v>
      </c>
      <c r="AA203" s="376">
        <f t="shared" si="11"/>
        <v>5.1498850969658862E-4</v>
      </c>
    </row>
    <row r="204" spans="1:27">
      <c r="A204" s="244">
        <f t="shared" si="9"/>
        <v>20.800000000000029</v>
      </c>
      <c r="B204" s="241">
        <v>6</v>
      </c>
      <c r="C204" s="242">
        <v>11.9</v>
      </c>
      <c r="D204" s="243">
        <v>20</v>
      </c>
      <c r="E204" s="241">
        <v>6.5</v>
      </c>
      <c r="F204" s="242">
        <v>13.3</v>
      </c>
      <c r="G204" s="243">
        <v>22.6</v>
      </c>
      <c r="H204" s="241">
        <v>7.3</v>
      </c>
      <c r="I204" s="242">
        <v>15.6</v>
      </c>
      <c r="J204" s="243">
        <v>26.9</v>
      </c>
      <c r="K204" s="241">
        <v>9.1999999999999993</v>
      </c>
      <c r="L204" s="242">
        <v>20.7</v>
      </c>
      <c r="M204" s="243">
        <v>36.200000000000003</v>
      </c>
      <c r="N204" s="241">
        <v>15</v>
      </c>
      <c r="O204" s="242">
        <v>36.299999999999997</v>
      </c>
      <c r="P204" s="243">
        <v>63.7</v>
      </c>
      <c r="Z204" s="244">
        <f t="shared" si="10"/>
        <v>20.800000000000029</v>
      </c>
      <c r="AA204" s="376">
        <f t="shared" si="11"/>
        <v>5.0820837549019418E-4</v>
      </c>
    </row>
    <row r="205" spans="1:27">
      <c r="A205" s="244">
        <f t="shared" si="9"/>
        <v>20.900000000000031</v>
      </c>
      <c r="B205" s="241">
        <v>6</v>
      </c>
      <c r="C205" s="242">
        <v>12.3</v>
      </c>
      <c r="D205" s="243">
        <v>20.9</v>
      </c>
      <c r="E205" s="241">
        <v>6.5</v>
      </c>
      <c r="F205" s="242">
        <v>13.7</v>
      </c>
      <c r="G205" s="243">
        <v>23.6</v>
      </c>
      <c r="H205" s="241">
        <v>7.4</v>
      </c>
      <c r="I205" s="242">
        <v>16.100000000000001</v>
      </c>
      <c r="J205" s="243">
        <v>28.1</v>
      </c>
      <c r="K205" s="241">
        <v>9.3000000000000007</v>
      </c>
      <c r="L205" s="242">
        <v>21.5</v>
      </c>
      <c r="M205" s="243">
        <v>37.9</v>
      </c>
      <c r="N205" s="241">
        <v>15.2</v>
      </c>
      <c r="O205" s="242">
        <v>37.700000000000003</v>
      </c>
      <c r="P205" s="243">
        <v>66.5</v>
      </c>
      <c r="Z205" s="244">
        <f t="shared" si="10"/>
        <v>20.900000000000031</v>
      </c>
      <c r="AA205" s="376">
        <f t="shared" si="11"/>
        <v>5.0154938529724431E-4</v>
      </c>
    </row>
    <row r="206" spans="1:27">
      <c r="A206" s="244">
        <f t="shared" si="9"/>
        <v>21.000000000000032</v>
      </c>
      <c r="B206" s="241">
        <v>6.1</v>
      </c>
      <c r="C206" s="242">
        <v>12.7</v>
      </c>
      <c r="D206" s="243">
        <v>21.8</v>
      </c>
      <c r="E206" s="241">
        <v>6.6</v>
      </c>
      <c r="F206" s="242">
        <v>14.2</v>
      </c>
      <c r="G206" s="243">
        <v>24.7</v>
      </c>
      <c r="H206" s="241">
        <v>7.5</v>
      </c>
      <c r="I206" s="242">
        <v>16.7</v>
      </c>
      <c r="J206" s="243">
        <v>29.4</v>
      </c>
      <c r="K206" s="241">
        <v>9.5</v>
      </c>
      <c r="L206" s="242">
        <v>22.3</v>
      </c>
      <c r="M206" s="243">
        <v>39.6</v>
      </c>
      <c r="N206" s="241">
        <v>15.5</v>
      </c>
      <c r="O206" s="242">
        <v>39.200000000000003</v>
      </c>
      <c r="P206" s="243">
        <v>69.400000000000006</v>
      </c>
      <c r="Z206" s="244">
        <f t="shared" si="10"/>
        <v>21.000000000000032</v>
      </c>
      <c r="AA206" s="376">
        <f t="shared" si="11"/>
        <v>4.9500881037754124E-4</v>
      </c>
    </row>
    <row r="207" spans="1:27">
      <c r="A207" s="244">
        <f t="shared" si="9"/>
        <v>21.100000000000033</v>
      </c>
      <c r="B207" s="241">
        <v>6.2</v>
      </c>
      <c r="C207" s="242">
        <v>13.1</v>
      </c>
      <c r="D207" s="243">
        <v>22.8</v>
      </c>
      <c r="E207" s="241">
        <v>6.7</v>
      </c>
      <c r="F207" s="242">
        <v>14.7</v>
      </c>
      <c r="G207" s="243">
        <v>25.8</v>
      </c>
      <c r="H207" s="241">
        <v>7.6</v>
      </c>
      <c r="I207" s="242">
        <v>17.3</v>
      </c>
      <c r="J207" s="243">
        <v>30.7</v>
      </c>
      <c r="K207" s="241">
        <v>9.6</v>
      </c>
      <c r="L207" s="242">
        <v>23.1</v>
      </c>
      <c r="M207" s="243">
        <v>41.4</v>
      </c>
      <c r="N207" s="241">
        <v>15.8</v>
      </c>
      <c r="O207" s="242">
        <v>40.6</v>
      </c>
      <c r="P207" s="243">
        <v>72.5</v>
      </c>
      <c r="Z207" s="244">
        <f t="shared" si="10"/>
        <v>21.100000000000033</v>
      </c>
      <c r="AA207" s="376">
        <f t="shared" si="11"/>
        <v>4.8858399604354669E-4</v>
      </c>
    </row>
    <row r="208" spans="1:27">
      <c r="A208" s="244">
        <f t="shared" si="9"/>
        <v>21.200000000000035</v>
      </c>
      <c r="B208" s="241">
        <v>6.3</v>
      </c>
      <c r="C208" s="242">
        <v>13.5</v>
      </c>
      <c r="D208" s="243">
        <v>23.8</v>
      </c>
      <c r="E208" s="241">
        <v>6.8</v>
      </c>
      <c r="F208" s="242">
        <v>15.2</v>
      </c>
      <c r="G208" s="243">
        <v>26.9</v>
      </c>
      <c r="H208" s="241">
        <v>7.7</v>
      </c>
      <c r="I208" s="242">
        <v>17.899999999999999</v>
      </c>
      <c r="J208" s="243">
        <v>32.1</v>
      </c>
      <c r="K208" s="241">
        <v>9.8000000000000007</v>
      </c>
      <c r="L208" s="242">
        <v>23.9</v>
      </c>
      <c r="M208" s="243">
        <v>43.3</v>
      </c>
      <c r="N208" s="241">
        <v>16.100000000000001</v>
      </c>
      <c r="O208" s="242">
        <v>42.1</v>
      </c>
      <c r="P208" s="243">
        <v>75.599999999999994</v>
      </c>
      <c r="Z208" s="244">
        <f t="shared" si="10"/>
        <v>21.200000000000035</v>
      </c>
      <c r="AA208" s="376">
        <f t="shared" si="11"/>
        <v>4.8227235931232534E-4</v>
      </c>
    </row>
    <row r="209" spans="1:27">
      <c r="A209" s="244">
        <f t="shared" si="9"/>
        <v>21.300000000000036</v>
      </c>
      <c r="B209" s="241">
        <v>6.3</v>
      </c>
      <c r="C209" s="242">
        <v>14</v>
      </c>
      <c r="D209" s="243">
        <v>24.8</v>
      </c>
      <c r="E209" s="241">
        <v>6.9</v>
      </c>
      <c r="F209" s="242">
        <v>15.7</v>
      </c>
      <c r="G209" s="243">
        <v>28.1</v>
      </c>
      <c r="H209" s="241">
        <v>7.8</v>
      </c>
      <c r="I209" s="242">
        <v>18.5</v>
      </c>
      <c r="J209" s="243">
        <v>33.5</v>
      </c>
      <c r="K209" s="241">
        <v>9.9</v>
      </c>
      <c r="L209" s="242">
        <v>24.8</v>
      </c>
      <c r="M209" s="243">
        <v>45.2</v>
      </c>
      <c r="N209" s="241">
        <v>16.399999999999999</v>
      </c>
      <c r="O209" s="242">
        <v>43.6</v>
      </c>
      <c r="P209" s="243">
        <v>78.7</v>
      </c>
      <c r="Z209" s="244">
        <f t="shared" si="10"/>
        <v>21.300000000000036</v>
      </c>
      <c r="AA209" s="376">
        <f t="shared" si="11"/>
        <v>4.7607138664256795E-4</v>
      </c>
    </row>
    <row r="210" spans="1:27">
      <c r="A210" s="244">
        <f t="shared" si="9"/>
        <v>21.400000000000038</v>
      </c>
      <c r="B210" s="241">
        <v>6.4</v>
      </c>
      <c r="C210" s="242">
        <v>14.4</v>
      </c>
      <c r="D210" s="243">
        <v>25.9</v>
      </c>
      <c r="E210" s="241">
        <v>7</v>
      </c>
      <c r="F210" s="242">
        <v>16.2</v>
      </c>
      <c r="G210" s="243">
        <v>29.3</v>
      </c>
      <c r="H210" s="241">
        <v>8</v>
      </c>
      <c r="I210" s="242">
        <v>19.100000000000001</v>
      </c>
      <c r="J210" s="243">
        <v>34.9</v>
      </c>
      <c r="K210" s="241">
        <v>10.1</v>
      </c>
      <c r="L210" s="242">
        <v>25.6</v>
      </c>
      <c r="M210" s="243">
        <v>47.1</v>
      </c>
      <c r="N210" s="241">
        <v>16.7</v>
      </c>
      <c r="O210" s="242">
        <v>45.1</v>
      </c>
      <c r="P210" s="243">
        <v>81.900000000000006</v>
      </c>
      <c r="Z210" s="244">
        <f t="shared" si="10"/>
        <v>21.400000000000038</v>
      </c>
      <c r="AA210" s="376">
        <f t="shared" si="11"/>
        <v>4.6997863175323433E-4</v>
      </c>
    </row>
    <row r="211" spans="1:27">
      <c r="A211" s="244">
        <f t="shared" si="9"/>
        <v>21.500000000000039</v>
      </c>
      <c r="B211" s="241">
        <v>6.5</v>
      </c>
      <c r="C211" s="242">
        <v>14.8</v>
      </c>
      <c r="D211" s="243">
        <v>26.9</v>
      </c>
      <c r="E211" s="241">
        <v>7.1</v>
      </c>
      <c r="F211" s="242">
        <v>16.7</v>
      </c>
      <c r="G211" s="243">
        <v>30.5</v>
      </c>
      <c r="H211" s="241">
        <v>8.1</v>
      </c>
      <c r="I211" s="242">
        <v>19.7</v>
      </c>
      <c r="J211" s="243">
        <v>36.4</v>
      </c>
      <c r="K211" s="241">
        <v>10.3</v>
      </c>
      <c r="L211" s="242">
        <v>26.4</v>
      </c>
      <c r="M211" s="243">
        <v>49</v>
      </c>
      <c r="N211" s="241">
        <v>17</v>
      </c>
      <c r="O211" s="242">
        <v>46.6</v>
      </c>
      <c r="P211" s="243">
        <v>85</v>
      </c>
      <c r="Z211" s="244">
        <f t="shared" si="10"/>
        <v>21.500000000000039</v>
      </c>
      <c r="AA211" s="376">
        <f t="shared" si="11"/>
        <v>4.6399171352050383E-4</v>
      </c>
    </row>
    <row r="212" spans="1:27">
      <c r="A212" s="244">
        <f t="shared" si="9"/>
        <v>21.600000000000041</v>
      </c>
      <c r="B212" s="241">
        <v>6.6</v>
      </c>
      <c r="C212" s="242">
        <v>15.3</v>
      </c>
      <c r="D212" s="243">
        <v>28</v>
      </c>
      <c r="E212" s="241">
        <v>7.2</v>
      </c>
      <c r="F212" s="242">
        <v>17.100000000000001</v>
      </c>
      <c r="G212" s="243">
        <v>31.7</v>
      </c>
      <c r="H212" s="241">
        <v>8.1999999999999993</v>
      </c>
      <c r="I212" s="242">
        <v>20.3</v>
      </c>
      <c r="J212" s="243">
        <v>37.799999999999997</v>
      </c>
      <c r="K212" s="241">
        <v>10.4</v>
      </c>
      <c r="L212" s="242">
        <v>27.2</v>
      </c>
      <c r="M212" s="243">
        <v>50.9</v>
      </c>
      <c r="N212" s="241">
        <v>17.399999999999999</v>
      </c>
      <c r="O212" s="242">
        <v>48</v>
      </c>
      <c r="P212" s="243">
        <v>88.1</v>
      </c>
      <c r="Z212" s="244">
        <f t="shared" si="10"/>
        <v>21.600000000000041</v>
      </c>
      <c r="AA212" s="376">
        <f t="shared" si="11"/>
        <v>4.5810831394987699E-4</v>
      </c>
    </row>
    <row r="213" spans="1:27">
      <c r="A213" s="244">
        <f t="shared" si="9"/>
        <v>21.700000000000042</v>
      </c>
      <c r="B213" s="241">
        <v>6.7</v>
      </c>
      <c r="C213" s="242">
        <v>15.7</v>
      </c>
      <c r="D213" s="243">
        <v>29</v>
      </c>
      <c r="E213" s="241">
        <v>7.3</v>
      </c>
      <c r="F213" s="242">
        <v>17.600000000000001</v>
      </c>
      <c r="G213" s="243">
        <v>32.799999999999997</v>
      </c>
      <c r="H213" s="241">
        <v>8.3000000000000007</v>
      </c>
      <c r="I213" s="242">
        <v>20.8</v>
      </c>
      <c r="J213" s="243">
        <v>39.1</v>
      </c>
      <c r="K213" s="241">
        <v>10.6</v>
      </c>
      <c r="L213" s="242">
        <v>28</v>
      </c>
      <c r="M213" s="243">
        <v>52.8</v>
      </c>
      <c r="N213" s="241">
        <v>17.600000000000001</v>
      </c>
      <c r="O213" s="242">
        <v>49.3</v>
      </c>
      <c r="P213" s="243">
        <v>91</v>
      </c>
      <c r="Z213" s="244">
        <f t="shared" si="10"/>
        <v>21.700000000000042</v>
      </c>
      <c r="AA213" s="376">
        <f t="shared" si="11"/>
        <v>4.5232617622041025E-4</v>
      </c>
    </row>
    <row r="214" spans="1:27">
      <c r="A214" s="244">
        <f t="shared" si="9"/>
        <v>21.800000000000043</v>
      </c>
      <c r="B214" s="241">
        <v>6.7</v>
      </c>
      <c r="C214" s="242">
        <v>16</v>
      </c>
      <c r="D214" s="243">
        <v>30</v>
      </c>
      <c r="E214" s="241">
        <v>7.4</v>
      </c>
      <c r="F214" s="242">
        <v>18</v>
      </c>
      <c r="G214" s="243">
        <v>33.9</v>
      </c>
      <c r="H214" s="241">
        <v>8.4</v>
      </c>
      <c r="I214" s="242">
        <v>21.3</v>
      </c>
      <c r="J214" s="243">
        <v>40.5</v>
      </c>
      <c r="K214" s="241">
        <v>10.7</v>
      </c>
      <c r="L214" s="242">
        <v>28.7</v>
      </c>
      <c r="M214" s="243">
        <v>54.5</v>
      </c>
      <c r="N214" s="241">
        <v>17.899999999999999</v>
      </c>
      <c r="O214" s="242">
        <v>50.6</v>
      </c>
      <c r="P214" s="243">
        <v>93.8</v>
      </c>
      <c r="Z214" s="244">
        <f t="shared" si="10"/>
        <v>21.800000000000043</v>
      </c>
      <c r="AA214" s="376">
        <f t="shared" si="11"/>
        <v>4.4664310279819572E-4</v>
      </c>
    </row>
    <row r="215" spans="1:27">
      <c r="A215" s="244">
        <f t="shared" si="9"/>
        <v>21.900000000000045</v>
      </c>
      <c r="B215" s="241">
        <v>6.8</v>
      </c>
      <c r="C215" s="242">
        <v>16.399999999999999</v>
      </c>
      <c r="D215" s="243">
        <v>30.9</v>
      </c>
      <c r="E215" s="241">
        <v>7.4</v>
      </c>
      <c r="F215" s="242">
        <v>18.399999999999999</v>
      </c>
      <c r="G215" s="243">
        <v>35</v>
      </c>
      <c r="H215" s="241">
        <v>8.5</v>
      </c>
      <c r="I215" s="242">
        <v>21.8</v>
      </c>
      <c r="J215" s="243">
        <v>41.7</v>
      </c>
      <c r="K215" s="241">
        <v>10.9</v>
      </c>
      <c r="L215" s="242">
        <v>29.3</v>
      </c>
      <c r="M215" s="243">
        <v>56.1</v>
      </c>
      <c r="N215" s="241">
        <v>18.2</v>
      </c>
      <c r="O215" s="242">
        <v>51.7</v>
      </c>
      <c r="P215" s="243">
        <v>96.3</v>
      </c>
      <c r="Z215" s="244">
        <f t="shared" si="10"/>
        <v>21.900000000000045</v>
      </c>
      <c r="AA215" s="376">
        <f t="shared" si="11"/>
        <v>4.4105695361633878E-4</v>
      </c>
    </row>
    <row r="216" spans="1:27">
      <c r="A216" s="244">
        <f t="shared" si="9"/>
        <v>22.000000000000046</v>
      </c>
      <c r="B216" s="241">
        <v>6.9</v>
      </c>
      <c r="C216" s="242">
        <v>16.600000000000001</v>
      </c>
      <c r="D216" s="243">
        <v>31.6</v>
      </c>
      <c r="E216" s="241">
        <v>7.5</v>
      </c>
      <c r="F216" s="242">
        <v>18.7</v>
      </c>
      <c r="G216" s="243">
        <v>35.799999999999997</v>
      </c>
      <c r="H216" s="241">
        <v>8.6</v>
      </c>
      <c r="I216" s="242">
        <v>22.2</v>
      </c>
      <c r="J216" s="243">
        <v>42.7</v>
      </c>
      <c r="K216" s="241">
        <v>11</v>
      </c>
      <c r="L216" s="242">
        <v>29.9</v>
      </c>
      <c r="M216" s="243">
        <v>57.5</v>
      </c>
      <c r="N216" s="241">
        <v>18.399999999999999</v>
      </c>
      <c r="O216" s="242">
        <v>52.6</v>
      </c>
      <c r="P216" s="243">
        <v>98.5</v>
      </c>
      <c r="Z216" s="244">
        <f t="shared" si="10"/>
        <v>22.000000000000046</v>
      </c>
      <c r="AA216" s="376">
        <f t="shared" si="11"/>
        <v>4.355656443187899E-4</v>
      </c>
    </row>
    <row r="217" spans="1:27">
      <c r="A217" s="244">
        <f t="shared" si="9"/>
        <v>22.100000000000048</v>
      </c>
      <c r="B217" s="241">
        <v>6.9</v>
      </c>
      <c r="C217" s="242">
        <v>16.899999999999999</v>
      </c>
      <c r="D217" s="243">
        <v>32.299999999999997</v>
      </c>
      <c r="E217" s="241">
        <v>7.6</v>
      </c>
      <c r="F217" s="242">
        <v>19</v>
      </c>
      <c r="G217" s="243">
        <v>36.6</v>
      </c>
      <c r="H217" s="241">
        <v>8.6999999999999993</v>
      </c>
      <c r="I217" s="242">
        <v>22.5</v>
      </c>
      <c r="J217" s="243">
        <v>43.6</v>
      </c>
      <c r="K217" s="241">
        <v>11.1</v>
      </c>
      <c r="L217" s="242">
        <v>30.3</v>
      </c>
      <c r="M217" s="243">
        <v>58.7</v>
      </c>
      <c r="N217" s="241">
        <v>18.600000000000001</v>
      </c>
      <c r="O217" s="242">
        <v>53.4</v>
      </c>
      <c r="P217" s="243">
        <v>100.3</v>
      </c>
      <c r="Z217" s="244">
        <f t="shared" si="10"/>
        <v>22.100000000000048</v>
      </c>
      <c r="AA217" s="376">
        <f t="shared" si="11"/>
        <v>4.3016714456552022E-4</v>
      </c>
    </row>
    <row r="218" spans="1:27">
      <c r="A218" s="244">
        <f t="shared" si="9"/>
        <v>22.200000000000049</v>
      </c>
      <c r="B218" s="241">
        <v>7</v>
      </c>
      <c r="C218" s="242">
        <v>17.100000000000001</v>
      </c>
      <c r="D218" s="243">
        <v>32.700000000000003</v>
      </c>
      <c r="E218" s="241">
        <v>7.6</v>
      </c>
      <c r="F218" s="242">
        <v>19.2</v>
      </c>
      <c r="G218" s="243">
        <v>37.1</v>
      </c>
      <c r="H218" s="241">
        <v>8.6999999999999993</v>
      </c>
      <c r="I218" s="242">
        <v>22.8</v>
      </c>
      <c r="J218" s="243">
        <v>44.2</v>
      </c>
      <c r="K218" s="241">
        <v>11.2</v>
      </c>
      <c r="L218" s="242">
        <v>30.6</v>
      </c>
      <c r="M218" s="243">
        <v>59.5</v>
      </c>
      <c r="N218" s="241">
        <v>18.7</v>
      </c>
      <c r="O218" s="242">
        <v>54</v>
      </c>
      <c r="P218" s="243">
        <v>101.6</v>
      </c>
      <c r="Z218" s="244">
        <f t="shared" si="10"/>
        <v>22.200000000000049</v>
      </c>
      <c r="AA218" s="376">
        <f t="shared" si="11"/>
        <v>4.2485947639662715E-4</v>
      </c>
    </row>
    <row r="219" spans="1:27">
      <c r="A219" s="244">
        <f t="shared" si="9"/>
        <v>22.30000000000005</v>
      </c>
      <c r="B219" s="241">
        <v>7</v>
      </c>
      <c r="C219" s="242">
        <v>17.2</v>
      </c>
      <c r="D219" s="243">
        <v>32.9</v>
      </c>
      <c r="E219" s="241">
        <v>7.7</v>
      </c>
      <c r="F219" s="242">
        <v>19.3</v>
      </c>
      <c r="G219" s="243">
        <v>37.299999999999997</v>
      </c>
      <c r="H219" s="241">
        <v>8.8000000000000007</v>
      </c>
      <c r="I219" s="242">
        <v>22.9</v>
      </c>
      <c r="J219" s="243">
        <v>44.5</v>
      </c>
      <c r="K219" s="241">
        <v>11.2</v>
      </c>
      <c r="L219" s="242">
        <v>30.8</v>
      </c>
      <c r="M219" s="243">
        <v>59.8</v>
      </c>
      <c r="N219" s="241">
        <v>18.8</v>
      </c>
      <c r="O219" s="242">
        <v>54.3</v>
      </c>
      <c r="P219" s="243">
        <v>102.2</v>
      </c>
      <c r="Z219" s="244">
        <f t="shared" si="10"/>
        <v>22.30000000000005</v>
      </c>
      <c r="AA219" s="376">
        <f t="shared" si="11"/>
        <v>4.1964071265307152E-4</v>
      </c>
    </row>
    <row r="220" spans="1:27">
      <c r="A220" s="244">
        <f t="shared" si="9"/>
        <v>22.400000000000052</v>
      </c>
      <c r="B220" s="241">
        <v>7</v>
      </c>
      <c r="C220" s="242">
        <v>17.2</v>
      </c>
      <c r="D220" s="243">
        <v>32.9</v>
      </c>
      <c r="E220" s="241">
        <v>7.7</v>
      </c>
      <c r="F220" s="242">
        <v>19.399999999999999</v>
      </c>
      <c r="G220" s="243">
        <v>37.299999999999997</v>
      </c>
      <c r="H220" s="241">
        <v>8.8000000000000007</v>
      </c>
      <c r="I220" s="242">
        <v>23</v>
      </c>
      <c r="J220" s="243">
        <v>44.4</v>
      </c>
      <c r="K220" s="241">
        <v>11.2</v>
      </c>
      <c r="L220" s="242">
        <v>30.9</v>
      </c>
      <c r="M220" s="243">
        <v>59.8</v>
      </c>
      <c r="N220" s="241">
        <v>18.899999999999999</v>
      </c>
      <c r="O220" s="242">
        <v>54.5</v>
      </c>
      <c r="P220" s="243">
        <v>102.1</v>
      </c>
      <c r="Z220" s="244">
        <f t="shared" si="10"/>
        <v>22.400000000000052</v>
      </c>
      <c r="AA220" s="376">
        <f t="shared" si="11"/>
        <v>4.1450897545183856E-4</v>
      </c>
    </row>
    <row r="221" spans="1:27">
      <c r="A221" s="244">
        <f t="shared" si="9"/>
        <v>22.500000000000053</v>
      </c>
      <c r="B221" s="241">
        <v>7</v>
      </c>
      <c r="C221" s="242">
        <v>17.2</v>
      </c>
      <c r="D221" s="243">
        <v>32.700000000000003</v>
      </c>
      <c r="E221" s="241">
        <v>7.7</v>
      </c>
      <c r="F221" s="242">
        <v>19.3</v>
      </c>
      <c r="G221" s="243">
        <v>37</v>
      </c>
      <c r="H221" s="241">
        <v>8.8000000000000007</v>
      </c>
      <c r="I221" s="242">
        <v>22.9</v>
      </c>
      <c r="J221" s="243">
        <v>44.1</v>
      </c>
      <c r="K221" s="241">
        <v>11.2</v>
      </c>
      <c r="L221" s="242">
        <v>30.9</v>
      </c>
      <c r="M221" s="243">
        <v>59.4</v>
      </c>
      <c r="N221" s="241">
        <v>18.899999999999999</v>
      </c>
      <c r="O221" s="242">
        <v>54.4</v>
      </c>
      <c r="P221" s="243">
        <v>101.5</v>
      </c>
      <c r="Z221" s="244">
        <f t="shared" si="10"/>
        <v>22.500000000000053</v>
      </c>
      <c r="AA221" s="376">
        <f t="shared" si="11"/>
        <v>4.0946243471341607E-4</v>
      </c>
    </row>
    <row r="222" spans="1:27">
      <c r="A222" s="244">
        <f t="shared" si="9"/>
        <v>22.600000000000055</v>
      </c>
      <c r="B222" s="241">
        <v>7</v>
      </c>
      <c r="C222" s="242">
        <v>17.100000000000001</v>
      </c>
      <c r="D222" s="243">
        <v>32.299999999999997</v>
      </c>
      <c r="E222" s="241">
        <v>7.7</v>
      </c>
      <c r="F222" s="242">
        <v>19.2</v>
      </c>
      <c r="G222" s="243">
        <v>36.6</v>
      </c>
      <c r="H222" s="241">
        <v>8.8000000000000007</v>
      </c>
      <c r="I222" s="242">
        <v>22.8</v>
      </c>
      <c r="J222" s="243">
        <v>43.6</v>
      </c>
      <c r="K222" s="241">
        <v>11.2</v>
      </c>
      <c r="L222" s="242">
        <v>30.7</v>
      </c>
      <c r="M222" s="243">
        <v>58.8</v>
      </c>
      <c r="N222" s="241">
        <v>18.899999999999999</v>
      </c>
      <c r="O222" s="242">
        <v>54.1</v>
      </c>
      <c r="P222" s="243">
        <v>100.5</v>
      </c>
      <c r="Z222" s="244">
        <f t="shared" si="10"/>
        <v>22.600000000000055</v>
      </c>
      <c r="AA222" s="376">
        <f t="shared" si="11"/>
        <v>4.0449930673957455E-4</v>
      </c>
    </row>
    <row r="223" spans="1:27">
      <c r="A223" s="244">
        <f t="shared" si="9"/>
        <v>22.700000000000056</v>
      </c>
      <c r="B223" s="241">
        <v>7</v>
      </c>
      <c r="C223" s="242">
        <v>17</v>
      </c>
      <c r="D223" s="243">
        <v>31.8</v>
      </c>
      <c r="E223" s="241">
        <v>7.6</v>
      </c>
      <c r="F223" s="242">
        <v>19.100000000000001</v>
      </c>
      <c r="G223" s="243">
        <v>36.1</v>
      </c>
      <c r="H223" s="241">
        <v>8.6999999999999993</v>
      </c>
      <c r="I223" s="242">
        <v>22.6</v>
      </c>
      <c r="J223" s="243">
        <v>43</v>
      </c>
      <c r="K223" s="241">
        <v>11.2</v>
      </c>
      <c r="L223" s="242">
        <v>30.4</v>
      </c>
      <c r="M223" s="243">
        <v>57.9</v>
      </c>
      <c r="N223" s="241">
        <v>18.8</v>
      </c>
      <c r="O223" s="242">
        <v>53.6</v>
      </c>
      <c r="P223" s="243">
        <v>99.1</v>
      </c>
      <c r="Z223" s="244">
        <f t="shared" si="10"/>
        <v>22.700000000000056</v>
      </c>
      <c r="AA223" s="376">
        <f t="shared" si="11"/>
        <v>3.996178528395137E-4</v>
      </c>
    </row>
    <row r="224" spans="1:27">
      <c r="A224" s="244">
        <f t="shared" si="9"/>
        <v>22.800000000000058</v>
      </c>
      <c r="B224" s="241">
        <v>7</v>
      </c>
      <c r="C224" s="242">
        <v>16.8</v>
      </c>
      <c r="D224" s="243">
        <v>31.2</v>
      </c>
      <c r="E224" s="241">
        <v>7.6</v>
      </c>
      <c r="F224" s="242">
        <v>18.899999999999999</v>
      </c>
      <c r="G224" s="243">
        <v>35.4</v>
      </c>
      <c r="H224" s="241">
        <v>8.6999999999999993</v>
      </c>
      <c r="I224" s="242">
        <v>22.4</v>
      </c>
      <c r="J224" s="243">
        <v>42.2</v>
      </c>
      <c r="K224" s="241">
        <v>11.1</v>
      </c>
      <c r="L224" s="242">
        <v>30.1</v>
      </c>
      <c r="M224" s="243">
        <v>56.8</v>
      </c>
      <c r="N224" s="241">
        <v>18.7</v>
      </c>
      <c r="O224" s="242">
        <v>53</v>
      </c>
      <c r="P224" s="243">
        <v>97.5</v>
      </c>
      <c r="Z224" s="244">
        <f t="shared" si="10"/>
        <v>22.800000000000058</v>
      </c>
      <c r="AA224" s="376">
        <f t="shared" si="11"/>
        <v>3.9481637800252797E-4</v>
      </c>
    </row>
    <row r="225" spans="1:27">
      <c r="A225" s="244">
        <f t="shared" si="9"/>
        <v>22.900000000000059</v>
      </c>
      <c r="B225" s="241">
        <v>6.9</v>
      </c>
      <c r="C225" s="242">
        <v>16.5</v>
      </c>
      <c r="D225" s="243">
        <v>30.6</v>
      </c>
      <c r="E225" s="241">
        <v>7.6</v>
      </c>
      <c r="F225" s="242">
        <v>18.600000000000001</v>
      </c>
      <c r="G225" s="243">
        <v>34.6</v>
      </c>
      <c r="H225" s="241">
        <v>8.6999999999999993</v>
      </c>
      <c r="I225" s="242">
        <v>22.1</v>
      </c>
      <c r="J225" s="243">
        <v>41.3</v>
      </c>
      <c r="K225" s="241">
        <v>11.1</v>
      </c>
      <c r="L225" s="242">
        <v>29.7</v>
      </c>
      <c r="M225" s="243">
        <v>55.6</v>
      </c>
      <c r="N225" s="241">
        <v>18.600000000000001</v>
      </c>
      <c r="O225" s="242">
        <v>52.3</v>
      </c>
      <c r="P225" s="243">
        <v>95.6</v>
      </c>
      <c r="Z225" s="244">
        <f t="shared" si="10"/>
        <v>22.900000000000059</v>
      </c>
      <c r="AA225" s="376">
        <f t="shared" si="11"/>
        <v>3.9009322961542291E-4</v>
      </c>
    </row>
    <row r="226" spans="1:27">
      <c r="A226" s="244">
        <f t="shared" si="9"/>
        <v>23.00000000000006</v>
      </c>
      <c r="B226" s="241">
        <v>6.9</v>
      </c>
      <c r="C226" s="242">
        <v>16.3</v>
      </c>
      <c r="D226" s="243">
        <v>29.8</v>
      </c>
      <c r="E226" s="241">
        <v>7.5</v>
      </c>
      <c r="F226" s="242">
        <v>18.3</v>
      </c>
      <c r="G226" s="243">
        <v>33.799999999999997</v>
      </c>
      <c r="H226" s="241">
        <v>8.6</v>
      </c>
      <c r="I226" s="242">
        <v>21.7</v>
      </c>
      <c r="J226" s="243">
        <v>40.299999999999997</v>
      </c>
      <c r="K226" s="241">
        <v>11</v>
      </c>
      <c r="L226" s="242">
        <v>29.2</v>
      </c>
      <c r="M226" s="243">
        <v>54.3</v>
      </c>
      <c r="N226" s="241">
        <v>18.399999999999999</v>
      </c>
      <c r="O226" s="242">
        <v>51.4</v>
      </c>
      <c r="P226" s="243">
        <v>93.5</v>
      </c>
      <c r="Z226" s="244">
        <f t="shared" si="10"/>
        <v>23.00000000000006</v>
      </c>
      <c r="AA226" s="376">
        <f t="shared" si="11"/>
        <v>3.8544679622298138E-4</v>
      </c>
    </row>
    <row r="227" spans="1:27">
      <c r="A227" s="244">
        <f t="shared" si="9"/>
        <v>23.100000000000062</v>
      </c>
      <c r="B227" s="241">
        <v>6.9</v>
      </c>
      <c r="C227" s="242">
        <v>16</v>
      </c>
      <c r="D227" s="243">
        <v>29.1</v>
      </c>
      <c r="E227" s="241">
        <v>7.5</v>
      </c>
      <c r="F227" s="242">
        <v>18</v>
      </c>
      <c r="G227" s="243">
        <v>32.9</v>
      </c>
      <c r="H227" s="241">
        <v>8.6</v>
      </c>
      <c r="I227" s="242">
        <v>21.3</v>
      </c>
      <c r="J227" s="243">
        <v>39.299999999999997</v>
      </c>
      <c r="K227" s="241">
        <v>10.9</v>
      </c>
      <c r="L227" s="242">
        <v>28.7</v>
      </c>
      <c r="M227" s="243">
        <v>52.9</v>
      </c>
      <c r="N227" s="241">
        <v>18.3</v>
      </c>
      <c r="O227" s="242">
        <v>50.5</v>
      </c>
      <c r="P227" s="243">
        <v>91.3</v>
      </c>
      <c r="Z227" s="244">
        <f t="shared" si="10"/>
        <v>23.100000000000062</v>
      </c>
      <c r="AA227" s="376">
        <f t="shared" si="11"/>
        <v>3.8087550632986083E-4</v>
      </c>
    </row>
    <row r="228" spans="1:27">
      <c r="A228" s="244">
        <f t="shared" si="9"/>
        <v>23.200000000000063</v>
      </c>
      <c r="B228" s="241">
        <v>6.8</v>
      </c>
      <c r="C228" s="242">
        <v>15.7</v>
      </c>
      <c r="D228" s="243">
        <v>28.3</v>
      </c>
      <c r="E228" s="241">
        <v>7.4</v>
      </c>
      <c r="F228" s="242">
        <v>17.7</v>
      </c>
      <c r="G228" s="243">
        <v>32</v>
      </c>
      <c r="H228" s="241">
        <v>8.5</v>
      </c>
      <c r="I228" s="242">
        <v>20.9</v>
      </c>
      <c r="J228" s="243">
        <v>38.200000000000003</v>
      </c>
      <c r="K228" s="241">
        <v>10.8</v>
      </c>
      <c r="L228" s="242">
        <v>28.1</v>
      </c>
      <c r="M228" s="243">
        <v>51.5</v>
      </c>
      <c r="N228" s="241">
        <v>18.100000000000001</v>
      </c>
      <c r="O228" s="242">
        <v>49.5</v>
      </c>
      <c r="P228" s="243">
        <v>89</v>
      </c>
      <c r="Z228" s="244">
        <f t="shared" si="10"/>
        <v>23.200000000000063</v>
      </c>
      <c r="AA228" s="376">
        <f t="shared" si="11"/>
        <v>3.7637782724235871E-4</v>
      </c>
    </row>
    <row r="229" spans="1:27">
      <c r="A229" s="244">
        <f t="shared" si="9"/>
        <v>23.300000000000065</v>
      </c>
      <c r="B229" s="241">
        <v>6.8</v>
      </c>
      <c r="C229" s="242">
        <v>15.4</v>
      </c>
      <c r="D229" s="243">
        <v>27.5</v>
      </c>
      <c r="E229" s="241">
        <v>7.4</v>
      </c>
      <c r="F229" s="242">
        <v>17.3</v>
      </c>
      <c r="G229" s="243">
        <v>31.1</v>
      </c>
      <c r="H229" s="241">
        <v>8.4</v>
      </c>
      <c r="I229" s="242">
        <v>20.5</v>
      </c>
      <c r="J229" s="243">
        <v>37.1</v>
      </c>
      <c r="K229" s="241">
        <v>10.8</v>
      </c>
      <c r="L229" s="242">
        <v>27.5</v>
      </c>
      <c r="M229" s="243">
        <v>50.1</v>
      </c>
      <c r="N229" s="241">
        <v>18</v>
      </c>
      <c r="O229" s="242">
        <v>48.5</v>
      </c>
      <c r="P229" s="243">
        <v>86.7</v>
      </c>
      <c r="Z229" s="244">
        <f t="shared" si="10"/>
        <v>23.300000000000065</v>
      </c>
      <c r="AA229" s="376">
        <f t="shared" si="11"/>
        <v>3.7195226394856119E-4</v>
      </c>
    </row>
    <row r="230" spans="1:27">
      <c r="A230" s="244">
        <f t="shared" si="9"/>
        <v>23.400000000000066</v>
      </c>
      <c r="B230" s="241">
        <v>6.7</v>
      </c>
      <c r="C230" s="242">
        <v>15.1</v>
      </c>
      <c r="D230" s="243">
        <v>26.7</v>
      </c>
      <c r="E230" s="241">
        <v>7.3</v>
      </c>
      <c r="F230" s="242">
        <v>16.899999999999999</v>
      </c>
      <c r="G230" s="243">
        <v>30.2</v>
      </c>
      <c r="H230" s="241">
        <v>8.4</v>
      </c>
      <c r="I230" s="242">
        <v>20</v>
      </c>
      <c r="J230" s="243">
        <v>36</v>
      </c>
      <c r="K230" s="241">
        <v>10.7</v>
      </c>
      <c r="L230" s="242">
        <v>26.9</v>
      </c>
      <c r="M230" s="243">
        <v>48.6</v>
      </c>
      <c r="N230" s="241">
        <v>17.8</v>
      </c>
      <c r="O230" s="242">
        <v>47.4</v>
      </c>
      <c r="P230" s="243">
        <v>84.4</v>
      </c>
      <c r="Z230" s="244">
        <f t="shared" si="10"/>
        <v>23.400000000000066</v>
      </c>
      <c r="AA230" s="376">
        <f t="shared" si="11"/>
        <v>3.6759735803544032E-4</v>
      </c>
    </row>
    <row r="231" spans="1:27">
      <c r="A231" s="244">
        <f t="shared" si="9"/>
        <v>23.500000000000068</v>
      </c>
      <c r="B231" s="241">
        <v>6.7</v>
      </c>
      <c r="C231" s="242">
        <v>14.8</v>
      </c>
      <c r="D231" s="243">
        <v>25.9</v>
      </c>
      <c r="E231" s="241">
        <v>7.3</v>
      </c>
      <c r="F231" s="242">
        <v>16.600000000000001</v>
      </c>
      <c r="G231" s="243">
        <v>29.3</v>
      </c>
      <c r="H231" s="241">
        <v>8.3000000000000007</v>
      </c>
      <c r="I231" s="242">
        <v>19.600000000000001</v>
      </c>
      <c r="J231" s="243">
        <v>35</v>
      </c>
      <c r="K231" s="241">
        <v>10.6</v>
      </c>
      <c r="L231" s="242">
        <v>26.3</v>
      </c>
      <c r="M231" s="243">
        <v>47.2</v>
      </c>
      <c r="N231" s="241">
        <v>17.600000000000001</v>
      </c>
      <c r="O231" s="242">
        <v>46.3</v>
      </c>
      <c r="P231" s="243">
        <v>82</v>
      </c>
      <c r="Z231" s="244">
        <f t="shared" si="10"/>
        <v>23.500000000000068</v>
      </c>
      <c r="AA231" s="376">
        <f t="shared" si="11"/>
        <v>3.6331168664152923E-4</v>
      </c>
    </row>
    <row r="232" spans="1:27">
      <c r="A232" s="244">
        <f t="shared" si="9"/>
        <v>23.600000000000069</v>
      </c>
      <c r="B232" s="241">
        <v>6.6</v>
      </c>
      <c r="C232" s="242">
        <v>14.4</v>
      </c>
      <c r="D232" s="243">
        <v>25.2</v>
      </c>
      <c r="E232" s="241">
        <v>7.2</v>
      </c>
      <c r="F232" s="242">
        <v>16.2</v>
      </c>
      <c r="G232" s="243">
        <v>28.5</v>
      </c>
      <c r="H232" s="241">
        <v>8.1999999999999993</v>
      </c>
      <c r="I232" s="242">
        <v>19.2</v>
      </c>
      <c r="J232" s="243">
        <v>33.9</v>
      </c>
      <c r="K232" s="241">
        <v>10.5</v>
      </c>
      <c r="L232" s="242">
        <v>25.7</v>
      </c>
      <c r="M232" s="243">
        <v>45.8</v>
      </c>
      <c r="N232" s="241">
        <v>17.5</v>
      </c>
      <c r="O232" s="242">
        <v>45.2</v>
      </c>
      <c r="P232" s="243">
        <v>79.7</v>
      </c>
      <c r="Z232" s="244">
        <f t="shared" si="10"/>
        <v>23.600000000000069</v>
      </c>
      <c r="AA232" s="376">
        <f t="shared" si="11"/>
        <v>3.5909386144386568E-4</v>
      </c>
    </row>
    <row r="233" spans="1:27">
      <c r="A233" s="244">
        <f t="shared" si="9"/>
        <v>23.70000000000007</v>
      </c>
      <c r="B233" s="241">
        <v>6.6</v>
      </c>
      <c r="C233" s="242">
        <v>14.1</v>
      </c>
      <c r="D233" s="243">
        <v>24.4</v>
      </c>
      <c r="E233" s="241">
        <v>7.2</v>
      </c>
      <c r="F233" s="242">
        <v>15.8</v>
      </c>
      <c r="G233" s="243">
        <v>27.6</v>
      </c>
      <c r="H233" s="241">
        <v>8.1999999999999993</v>
      </c>
      <c r="I233" s="242">
        <v>18.7</v>
      </c>
      <c r="J233" s="243">
        <v>32.9</v>
      </c>
      <c r="K233" s="241">
        <v>10.4</v>
      </c>
      <c r="L233" s="242">
        <v>25.1</v>
      </c>
      <c r="M233" s="243">
        <v>44.4</v>
      </c>
      <c r="N233" s="241">
        <v>17.3</v>
      </c>
      <c r="O233" s="242">
        <v>44.2</v>
      </c>
      <c r="P233" s="243">
        <v>77.400000000000006</v>
      </c>
      <c r="Z233" s="244">
        <f t="shared" si="10"/>
        <v>23.70000000000007</v>
      </c>
      <c r="AA233" s="376">
        <f t="shared" si="11"/>
        <v>3.5494252767793804E-4</v>
      </c>
    </row>
    <row r="234" spans="1:27">
      <c r="A234" s="244">
        <f t="shared" si="9"/>
        <v>23.800000000000072</v>
      </c>
      <c r="B234" s="241">
        <v>6.5</v>
      </c>
      <c r="C234" s="242">
        <v>13.8</v>
      </c>
      <c r="D234" s="243">
        <v>23.7</v>
      </c>
      <c r="E234" s="241">
        <v>7.1</v>
      </c>
      <c r="F234" s="242">
        <v>15.5</v>
      </c>
      <c r="G234" s="243">
        <v>26.8</v>
      </c>
      <c r="H234" s="241">
        <v>8.1</v>
      </c>
      <c r="I234" s="242">
        <v>18.3</v>
      </c>
      <c r="J234" s="243">
        <v>31.9</v>
      </c>
      <c r="K234" s="241">
        <v>10.3</v>
      </c>
      <c r="L234" s="242">
        <v>24.5</v>
      </c>
      <c r="M234" s="243">
        <v>43.1</v>
      </c>
      <c r="N234" s="241">
        <v>17.2</v>
      </c>
      <c r="O234" s="242">
        <v>43.1</v>
      </c>
      <c r="P234" s="243">
        <v>75.2</v>
      </c>
      <c r="Z234" s="244">
        <f t="shared" si="10"/>
        <v>23.800000000000072</v>
      </c>
      <c r="AA234" s="376">
        <f t="shared" si="11"/>
        <v>3.5085636318942794E-4</v>
      </c>
    </row>
    <row r="235" spans="1:27">
      <c r="A235" s="244">
        <f t="shared" si="9"/>
        <v>23.900000000000073</v>
      </c>
      <c r="B235" s="241">
        <v>6.5</v>
      </c>
      <c r="C235" s="242">
        <v>13.5</v>
      </c>
      <c r="D235" s="243">
        <v>23</v>
      </c>
      <c r="E235" s="241">
        <v>7.1</v>
      </c>
      <c r="F235" s="242">
        <v>15.2</v>
      </c>
      <c r="G235" s="243">
        <v>26</v>
      </c>
      <c r="H235" s="241">
        <v>8.1</v>
      </c>
      <c r="I235" s="242">
        <v>17.899999999999999</v>
      </c>
      <c r="J235" s="243">
        <v>30.9</v>
      </c>
      <c r="K235" s="241">
        <v>10.3</v>
      </c>
      <c r="L235" s="242">
        <v>23.9</v>
      </c>
      <c r="M235" s="243">
        <v>41.8</v>
      </c>
      <c r="N235" s="241">
        <v>17</v>
      </c>
      <c r="O235" s="242">
        <v>42.1</v>
      </c>
      <c r="P235" s="243">
        <v>73</v>
      </c>
      <c r="Z235" s="244">
        <f t="shared" si="10"/>
        <v>23.900000000000073</v>
      </c>
      <c r="AA235" s="376">
        <f t="shared" si="11"/>
        <v>3.4683407751658882E-4</v>
      </c>
    </row>
    <row r="236" spans="1:27">
      <c r="A236" s="244">
        <f t="shared" si="9"/>
        <v>24.000000000000075</v>
      </c>
      <c r="B236" s="241">
        <v>6.5</v>
      </c>
      <c r="C236" s="242">
        <v>13.2</v>
      </c>
      <c r="D236" s="243">
        <v>22.3</v>
      </c>
      <c r="E236" s="241">
        <v>7</v>
      </c>
      <c r="F236" s="242">
        <v>14.8</v>
      </c>
      <c r="G236" s="243">
        <v>25.2</v>
      </c>
      <c r="H236" s="241">
        <v>8</v>
      </c>
      <c r="I236" s="242">
        <v>17.5</v>
      </c>
      <c r="J236" s="243">
        <v>30</v>
      </c>
      <c r="K236" s="241">
        <v>10.199999999999999</v>
      </c>
      <c r="L236" s="242">
        <v>23.3</v>
      </c>
      <c r="M236" s="243">
        <v>40.5</v>
      </c>
      <c r="N236" s="241">
        <v>16.899999999999999</v>
      </c>
      <c r="O236" s="242">
        <v>41.1</v>
      </c>
      <c r="P236" s="243">
        <v>71</v>
      </c>
      <c r="Z236" s="244">
        <f t="shared" si="10"/>
        <v>24.000000000000075</v>
      </c>
      <c r="AA236" s="376">
        <f t="shared" si="11"/>
        <v>3.4287441100214807E-4</v>
      </c>
    </row>
    <row r="237" spans="1:27">
      <c r="A237" s="244">
        <f t="shared" si="9"/>
        <v>24.100000000000076</v>
      </c>
      <c r="B237" s="241">
        <v>6.4</v>
      </c>
      <c r="C237" s="242">
        <v>12.9</v>
      </c>
      <c r="D237" s="243">
        <v>21.7</v>
      </c>
      <c r="E237" s="241">
        <v>7</v>
      </c>
      <c r="F237" s="242">
        <v>14.5</v>
      </c>
      <c r="G237" s="243">
        <v>24.5</v>
      </c>
      <c r="H237" s="241">
        <v>8</v>
      </c>
      <c r="I237" s="242">
        <v>17.100000000000001</v>
      </c>
      <c r="J237" s="243">
        <v>29.1</v>
      </c>
      <c r="K237" s="241">
        <v>10.1</v>
      </c>
      <c r="L237" s="242">
        <v>22.8</v>
      </c>
      <c r="M237" s="243">
        <v>39.299999999999997</v>
      </c>
      <c r="N237" s="241">
        <v>16.8</v>
      </c>
      <c r="O237" s="242">
        <v>40.1</v>
      </c>
      <c r="P237" s="243">
        <v>69</v>
      </c>
      <c r="Z237" s="244">
        <f t="shared" si="10"/>
        <v>24.100000000000076</v>
      </c>
      <c r="AA237" s="376">
        <f t="shared" si="11"/>
        <v>3.3897613393366407E-4</v>
      </c>
    </row>
    <row r="238" spans="1:27">
      <c r="A238" s="244">
        <f t="shared" si="9"/>
        <v>24.200000000000077</v>
      </c>
      <c r="B238" s="241">
        <v>6.4</v>
      </c>
      <c r="C238" s="242">
        <v>12.7</v>
      </c>
      <c r="D238" s="243">
        <v>21.1</v>
      </c>
      <c r="E238" s="241">
        <v>7</v>
      </c>
      <c r="F238" s="242">
        <v>14.2</v>
      </c>
      <c r="G238" s="243">
        <v>23.8</v>
      </c>
      <c r="H238" s="241">
        <v>7.9</v>
      </c>
      <c r="I238" s="242">
        <v>16.7</v>
      </c>
      <c r="J238" s="243">
        <v>28.3</v>
      </c>
      <c r="K238" s="241">
        <v>10</v>
      </c>
      <c r="L238" s="242">
        <v>22.3</v>
      </c>
      <c r="M238" s="243">
        <v>38.200000000000003</v>
      </c>
      <c r="N238" s="241">
        <v>16.600000000000001</v>
      </c>
      <c r="O238" s="242">
        <v>39.200000000000003</v>
      </c>
      <c r="P238" s="243">
        <v>67</v>
      </c>
      <c r="Z238" s="244">
        <f t="shared" si="10"/>
        <v>24.200000000000077</v>
      </c>
      <c r="AA238" s="376">
        <f t="shared" si="11"/>
        <v>3.3513804571131317E-4</v>
      </c>
    </row>
    <row r="239" spans="1:27">
      <c r="A239" s="244">
        <f t="shared" si="9"/>
        <v>24.300000000000079</v>
      </c>
      <c r="B239" s="241">
        <v>6.4</v>
      </c>
      <c r="C239" s="242">
        <v>12.4</v>
      </c>
      <c r="D239" s="243">
        <v>20.5</v>
      </c>
      <c r="E239" s="241">
        <v>6.9</v>
      </c>
      <c r="F239" s="242">
        <v>13.9</v>
      </c>
      <c r="G239" s="243">
        <v>23.1</v>
      </c>
      <c r="H239" s="241">
        <v>7.9</v>
      </c>
      <c r="I239" s="242">
        <v>16.3</v>
      </c>
      <c r="J239" s="243">
        <v>27.5</v>
      </c>
      <c r="K239" s="241">
        <v>10</v>
      </c>
      <c r="L239" s="242">
        <v>21.8</v>
      </c>
      <c r="M239" s="243">
        <v>37.1</v>
      </c>
      <c r="N239" s="241">
        <v>16.5</v>
      </c>
      <c r="O239" s="242">
        <v>38.299999999999997</v>
      </c>
      <c r="P239" s="243">
        <v>65.2</v>
      </c>
      <c r="Z239" s="244">
        <f t="shared" si="10"/>
        <v>24.300000000000079</v>
      </c>
      <c r="AA239" s="376">
        <f t="shared" si="11"/>
        <v>3.3135897404212324E-4</v>
      </c>
    </row>
    <row r="240" spans="1:27">
      <c r="A240" s="244">
        <f t="shared" si="9"/>
        <v>24.40000000000008</v>
      </c>
      <c r="B240" s="241">
        <v>6.3</v>
      </c>
      <c r="C240" s="242">
        <v>12.2</v>
      </c>
      <c r="D240" s="243">
        <v>19.899999999999999</v>
      </c>
      <c r="E240" s="241">
        <v>6.9</v>
      </c>
      <c r="F240" s="242">
        <v>13.6</v>
      </c>
      <c r="G240" s="243">
        <v>22.5</v>
      </c>
      <c r="H240" s="241">
        <v>7.8</v>
      </c>
      <c r="I240" s="242">
        <v>16</v>
      </c>
      <c r="J240" s="243">
        <v>26.8</v>
      </c>
      <c r="K240" s="241">
        <v>9.9</v>
      </c>
      <c r="L240" s="242">
        <v>21.3</v>
      </c>
      <c r="M240" s="243">
        <v>36.1</v>
      </c>
      <c r="N240" s="241">
        <v>16.399999999999999</v>
      </c>
      <c r="O240" s="242">
        <v>37.4</v>
      </c>
      <c r="P240" s="243">
        <v>63.4</v>
      </c>
      <c r="Z240" s="244">
        <f t="shared" si="10"/>
        <v>24.40000000000008</v>
      </c>
      <c r="AA240" s="376">
        <f t="shared" si="11"/>
        <v>3.2763777415970724E-4</v>
      </c>
    </row>
    <row r="241" spans="1:27">
      <c r="A241" s="244">
        <f t="shared" si="9"/>
        <v>24.500000000000082</v>
      </c>
      <c r="B241" s="241">
        <v>6.3</v>
      </c>
      <c r="C241" s="242">
        <v>11.9</v>
      </c>
      <c r="D241" s="243">
        <v>19.399999999999999</v>
      </c>
      <c r="E241" s="241">
        <v>6.9</v>
      </c>
      <c r="F241" s="242">
        <v>13.3</v>
      </c>
      <c r="G241" s="243">
        <v>21.9</v>
      </c>
      <c r="H241" s="241">
        <v>7.8</v>
      </c>
      <c r="I241" s="242">
        <v>15.7</v>
      </c>
      <c r="J241" s="243">
        <v>26</v>
      </c>
      <c r="K241" s="241">
        <v>9.9</v>
      </c>
      <c r="L241" s="242">
        <v>20.9</v>
      </c>
      <c r="M241" s="243">
        <v>35.1</v>
      </c>
      <c r="N241" s="241">
        <v>16.3</v>
      </c>
      <c r="O241" s="242">
        <v>36.6</v>
      </c>
      <c r="P241" s="243">
        <v>61.8</v>
      </c>
      <c r="Z241" s="244">
        <f t="shared" si="10"/>
        <v>24.500000000000082</v>
      </c>
      <c r="AA241" s="376">
        <f t="shared" si="11"/>
        <v>3.2397332806859163E-4</v>
      </c>
    </row>
    <row r="242" spans="1:27">
      <c r="A242" s="244">
        <f t="shared" si="9"/>
        <v>24.600000000000083</v>
      </c>
      <c r="B242" s="241">
        <v>6.3</v>
      </c>
      <c r="C242" s="242">
        <v>11.7</v>
      </c>
      <c r="D242" s="243">
        <v>18.899999999999999</v>
      </c>
      <c r="E242" s="241">
        <v>6.8</v>
      </c>
      <c r="F242" s="242">
        <v>13.1</v>
      </c>
      <c r="G242" s="243">
        <v>21.4</v>
      </c>
      <c r="H242" s="241">
        <v>7.8</v>
      </c>
      <c r="I242" s="242">
        <v>15.4</v>
      </c>
      <c r="J242" s="243">
        <v>25.4</v>
      </c>
      <c r="K242" s="241">
        <v>9.8000000000000007</v>
      </c>
      <c r="L242" s="242">
        <v>20.399999999999999</v>
      </c>
      <c r="M242" s="243">
        <v>34.200000000000003</v>
      </c>
      <c r="N242" s="241">
        <v>16.2</v>
      </c>
      <c r="O242" s="242">
        <v>35.9</v>
      </c>
      <c r="P242" s="243">
        <v>60.2</v>
      </c>
      <c r="Z242" s="244">
        <f t="shared" si="10"/>
        <v>24.600000000000083</v>
      </c>
      <c r="AA242" s="376">
        <f t="shared" si="11"/>
        <v>3.2036454381226547E-4</v>
      </c>
    </row>
    <row r="243" spans="1:27">
      <c r="A243" s="244">
        <f t="shared" si="9"/>
        <v>24.700000000000085</v>
      </c>
      <c r="B243" s="241">
        <v>6.3</v>
      </c>
      <c r="C243" s="242">
        <v>11.5</v>
      </c>
      <c r="D243" s="243">
        <v>18.5</v>
      </c>
      <c r="E243" s="241">
        <v>6.8</v>
      </c>
      <c r="F243" s="242">
        <v>12.9</v>
      </c>
      <c r="G243" s="243">
        <v>20.8</v>
      </c>
      <c r="H243" s="241">
        <v>7.7</v>
      </c>
      <c r="I243" s="242">
        <v>15.1</v>
      </c>
      <c r="J243" s="243">
        <v>24.7</v>
      </c>
      <c r="K243" s="241">
        <v>9.8000000000000007</v>
      </c>
      <c r="L243" s="242">
        <v>20</v>
      </c>
      <c r="M243" s="243">
        <v>33.299999999999997</v>
      </c>
      <c r="N243" s="241">
        <v>16.100000000000001</v>
      </c>
      <c r="O243" s="242">
        <v>35.1</v>
      </c>
      <c r="P243" s="243">
        <v>58.7</v>
      </c>
      <c r="Z243" s="244">
        <f t="shared" si="10"/>
        <v>24.700000000000085</v>
      </c>
      <c r="AA243" s="376">
        <f t="shared" si="11"/>
        <v>3.1681035476411468E-4</v>
      </c>
    </row>
    <row r="244" spans="1:27">
      <c r="A244" s="244">
        <f t="shared" si="9"/>
        <v>24.800000000000086</v>
      </c>
      <c r="B244" s="241">
        <v>6.3</v>
      </c>
      <c r="C244" s="242">
        <v>11.3</v>
      </c>
      <c r="D244" s="243">
        <v>18</v>
      </c>
      <c r="E244" s="241">
        <v>6.8</v>
      </c>
      <c r="F244" s="242">
        <v>12.6</v>
      </c>
      <c r="G244" s="243">
        <v>20.3</v>
      </c>
      <c r="H244" s="241">
        <v>7.7</v>
      </c>
      <c r="I244" s="242">
        <v>14.8</v>
      </c>
      <c r="J244" s="243">
        <v>24.1</v>
      </c>
      <c r="K244" s="241">
        <v>9.6999999999999993</v>
      </c>
      <c r="L244" s="242">
        <v>19.7</v>
      </c>
      <c r="M244" s="243">
        <v>32.5</v>
      </c>
      <c r="N244" s="241">
        <v>16.100000000000001</v>
      </c>
      <c r="O244" s="242">
        <v>34.4</v>
      </c>
      <c r="P244" s="243">
        <v>57.2</v>
      </c>
      <c r="Z244" s="244">
        <f t="shared" si="10"/>
        <v>24.800000000000086</v>
      </c>
      <c r="AA244" s="376">
        <f t="shared" si="11"/>
        <v>3.13309718940436E-4</v>
      </c>
    </row>
    <row r="245" spans="1:27">
      <c r="A245" s="244">
        <f t="shared" si="9"/>
        <v>24.900000000000087</v>
      </c>
      <c r="B245" s="241">
        <v>6.2</v>
      </c>
      <c r="C245" s="242">
        <v>11.1</v>
      </c>
      <c r="D245" s="243">
        <v>17.600000000000001</v>
      </c>
      <c r="E245" s="241">
        <v>6.8</v>
      </c>
      <c r="F245" s="242">
        <v>12.4</v>
      </c>
      <c r="G245" s="243">
        <v>19.8</v>
      </c>
      <c r="H245" s="241">
        <v>7.7</v>
      </c>
      <c r="I245" s="242">
        <v>14.6</v>
      </c>
      <c r="J245" s="243">
        <v>23.5</v>
      </c>
      <c r="K245" s="241">
        <v>9.6999999999999993</v>
      </c>
      <c r="L245" s="242">
        <v>19.3</v>
      </c>
      <c r="M245" s="243">
        <v>31.7</v>
      </c>
      <c r="N245" s="241">
        <v>16</v>
      </c>
      <c r="O245" s="242">
        <v>33.799999999999997</v>
      </c>
      <c r="P245" s="243">
        <v>55.9</v>
      </c>
      <c r="Z245" s="244">
        <f t="shared" si="10"/>
        <v>24.900000000000087</v>
      </c>
      <c r="AA245" s="376">
        <f t="shared" si="11"/>
        <v>3.098616183347574E-4</v>
      </c>
    </row>
    <row r="246" spans="1:27">
      <c r="A246" s="244">
        <f t="shared" si="9"/>
        <v>25.000000000000089</v>
      </c>
      <c r="B246" s="241">
        <v>6.2</v>
      </c>
      <c r="C246" s="242">
        <v>11</v>
      </c>
      <c r="D246" s="243">
        <v>17.2</v>
      </c>
      <c r="E246" s="241">
        <v>6.8</v>
      </c>
      <c r="F246" s="242">
        <v>12.2</v>
      </c>
      <c r="G246" s="243">
        <v>19.399999999999999</v>
      </c>
      <c r="H246" s="241">
        <v>7.7</v>
      </c>
      <c r="I246" s="242">
        <v>14.3</v>
      </c>
      <c r="J246" s="243">
        <v>23</v>
      </c>
      <c r="K246" s="241">
        <v>9.6999999999999993</v>
      </c>
      <c r="L246" s="242">
        <v>19</v>
      </c>
      <c r="M246" s="243">
        <v>31</v>
      </c>
      <c r="N246" s="241">
        <v>15.9</v>
      </c>
      <c r="O246" s="242">
        <v>33.200000000000003</v>
      </c>
      <c r="P246" s="243">
        <v>54.6</v>
      </c>
      <c r="Z246" s="244">
        <f t="shared" si="10"/>
        <v>25.000000000000089</v>
      </c>
      <c r="AA246" s="376">
        <f t="shared" si="11"/>
        <v>3.064650582727233E-4</v>
      </c>
    </row>
    <row r="247" spans="1:27">
      <c r="A247" s="244">
        <f t="shared" si="9"/>
        <v>25.10000000000009</v>
      </c>
      <c r="B247" s="241">
        <v>6.2</v>
      </c>
      <c r="C247" s="242">
        <v>10.8</v>
      </c>
      <c r="D247" s="243">
        <v>16.899999999999999</v>
      </c>
      <c r="E247" s="241">
        <v>6.7</v>
      </c>
      <c r="F247" s="242">
        <v>12</v>
      </c>
      <c r="G247" s="243">
        <v>19</v>
      </c>
      <c r="H247" s="241">
        <v>7.6</v>
      </c>
      <c r="I247" s="242">
        <v>14.1</v>
      </c>
      <c r="J247" s="243">
        <v>22.5</v>
      </c>
      <c r="K247" s="241">
        <v>9.6</v>
      </c>
      <c r="L247" s="242">
        <v>18.600000000000001</v>
      </c>
      <c r="M247" s="243">
        <v>30.3</v>
      </c>
      <c r="N247" s="241">
        <v>15.9</v>
      </c>
      <c r="O247" s="242">
        <v>32.6</v>
      </c>
      <c r="P247" s="243">
        <v>53.4</v>
      </c>
      <c r="Z247" s="244">
        <f t="shared" si="10"/>
        <v>25.10000000000009</v>
      </c>
      <c r="AA247" s="376">
        <f t="shared" si="11"/>
        <v>3.0311906678682739E-4</v>
      </c>
    </row>
    <row r="248" spans="1:27">
      <c r="A248" s="244">
        <f t="shared" si="9"/>
        <v>25.200000000000092</v>
      </c>
      <c r="B248" s="241">
        <v>6.2</v>
      </c>
      <c r="C248" s="242">
        <v>10.6</v>
      </c>
      <c r="D248" s="243">
        <v>16.5</v>
      </c>
      <c r="E248" s="241">
        <v>6.7</v>
      </c>
      <c r="F248" s="242">
        <v>11.9</v>
      </c>
      <c r="G248" s="243">
        <v>18.600000000000001</v>
      </c>
      <c r="H248" s="241">
        <v>7.6</v>
      </c>
      <c r="I248" s="242">
        <v>13.9</v>
      </c>
      <c r="J248" s="243">
        <v>22</v>
      </c>
      <c r="K248" s="241">
        <v>9.6</v>
      </c>
      <c r="L248" s="242">
        <v>18.3</v>
      </c>
      <c r="M248" s="243">
        <v>29.6</v>
      </c>
      <c r="N248" s="241">
        <v>15.8</v>
      </c>
      <c r="O248" s="242">
        <v>32</v>
      </c>
      <c r="P248" s="243">
        <v>52.2</v>
      </c>
      <c r="Z248" s="244">
        <f t="shared" si="10"/>
        <v>25.200000000000092</v>
      </c>
      <c r="AA248" s="376">
        <f t="shared" si="11"/>
        <v>2.9982269401030966E-4</v>
      </c>
    </row>
    <row r="249" spans="1:27">
      <c r="A249" s="244">
        <f t="shared" si="9"/>
        <v>25.300000000000093</v>
      </c>
      <c r="B249" s="241">
        <v>6.2</v>
      </c>
      <c r="C249" s="242">
        <v>10.5</v>
      </c>
      <c r="D249" s="243">
        <v>16.2</v>
      </c>
      <c r="E249" s="241">
        <v>6.7</v>
      </c>
      <c r="F249" s="242">
        <v>11.7</v>
      </c>
      <c r="G249" s="243">
        <v>18.2</v>
      </c>
      <c r="H249" s="241">
        <v>7.6</v>
      </c>
      <c r="I249" s="242">
        <v>13.7</v>
      </c>
      <c r="J249" s="243">
        <v>21.6</v>
      </c>
      <c r="K249" s="241">
        <v>9.6</v>
      </c>
      <c r="L249" s="242">
        <v>18.100000000000001</v>
      </c>
      <c r="M249" s="243">
        <v>29</v>
      </c>
      <c r="N249" s="241">
        <v>15.8</v>
      </c>
      <c r="O249" s="242">
        <v>31.5</v>
      </c>
      <c r="P249" s="243">
        <v>51.1</v>
      </c>
      <c r="Z249" s="244">
        <f t="shared" si="10"/>
        <v>25.300000000000093</v>
      </c>
      <c r="AA249" s="376">
        <f t="shared" si="11"/>
        <v>2.9657501158955423E-4</v>
      </c>
    </row>
    <row r="250" spans="1:27">
      <c r="A250" s="244">
        <f t="shared" si="9"/>
        <v>25.400000000000095</v>
      </c>
      <c r="B250" s="241">
        <v>6.2</v>
      </c>
      <c r="C250" s="242">
        <v>10.4</v>
      </c>
      <c r="D250" s="243">
        <v>15.9</v>
      </c>
      <c r="E250" s="241">
        <v>6.7</v>
      </c>
      <c r="F250" s="242">
        <v>11.5</v>
      </c>
      <c r="G250" s="243">
        <v>17.899999999999999</v>
      </c>
      <c r="H250" s="241">
        <v>7.6</v>
      </c>
      <c r="I250" s="242">
        <v>13.5</v>
      </c>
      <c r="J250" s="243">
        <v>21.1</v>
      </c>
      <c r="K250" s="241">
        <v>9.6</v>
      </c>
      <c r="L250" s="242">
        <v>17.8</v>
      </c>
      <c r="M250" s="243">
        <v>28.4</v>
      </c>
      <c r="N250" s="241">
        <v>15.8</v>
      </c>
      <c r="O250" s="242">
        <v>31</v>
      </c>
      <c r="P250" s="243">
        <v>50.1</v>
      </c>
      <c r="Z250" s="244">
        <f t="shared" si="10"/>
        <v>25.400000000000095</v>
      </c>
      <c r="AA250" s="376">
        <f t="shared" si="11"/>
        <v>2.9337511211435471E-4</v>
      </c>
    </row>
    <row r="251" spans="1:27">
      <c r="A251" s="244">
        <f t="shared" si="9"/>
        <v>25.500000000000096</v>
      </c>
      <c r="B251" s="241">
        <v>6.2</v>
      </c>
      <c r="C251" s="242">
        <v>10.199999999999999</v>
      </c>
      <c r="D251" s="243">
        <v>15.6</v>
      </c>
      <c r="E251" s="241">
        <v>6.7</v>
      </c>
      <c r="F251" s="242">
        <v>11.4</v>
      </c>
      <c r="G251" s="243">
        <v>17.5</v>
      </c>
      <c r="H251" s="241">
        <v>7.6</v>
      </c>
      <c r="I251" s="242">
        <v>13.3</v>
      </c>
      <c r="J251" s="243">
        <v>20.7</v>
      </c>
      <c r="K251" s="241">
        <v>9.6</v>
      </c>
      <c r="L251" s="242">
        <v>17.5</v>
      </c>
      <c r="M251" s="243">
        <v>27.9</v>
      </c>
      <c r="N251" s="241">
        <v>15.7</v>
      </c>
      <c r="O251" s="242">
        <v>30.6</v>
      </c>
      <c r="P251" s="243">
        <v>49.1</v>
      </c>
      <c r="Z251" s="244">
        <f t="shared" si="10"/>
        <v>25.500000000000096</v>
      </c>
      <c r="AA251" s="376">
        <f t="shared" si="11"/>
        <v>2.9022210856543526E-4</v>
      </c>
    </row>
    <row r="252" spans="1:27">
      <c r="A252" s="244">
        <f t="shared" si="9"/>
        <v>25.600000000000097</v>
      </c>
      <c r="B252" s="241">
        <v>6.2</v>
      </c>
      <c r="C252" s="242">
        <v>10.1</v>
      </c>
      <c r="D252" s="243">
        <v>15.3</v>
      </c>
      <c r="E252" s="241">
        <v>6.7</v>
      </c>
      <c r="F252" s="242">
        <v>11.2</v>
      </c>
      <c r="G252" s="243">
        <v>17.2</v>
      </c>
      <c r="H252" s="241">
        <v>7.6</v>
      </c>
      <c r="I252" s="242">
        <v>13.1</v>
      </c>
      <c r="J252" s="243">
        <v>20.399999999999999</v>
      </c>
      <c r="K252" s="241">
        <v>9.6</v>
      </c>
      <c r="L252" s="242">
        <v>17.3</v>
      </c>
      <c r="M252" s="243">
        <v>27.3</v>
      </c>
      <c r="N252" s="241">
        <v>15.7</v>
      </c>
      <c r="O252" s="242">
        <v>30.1</v>
      </c>
      <c r="P252" s="243">
        <v>48.2</v>
      </c>
      <c r="Z252" s="244">
        <f t="shared" si="10"/>
        <v>25.600000000000097</v>
      </c>
      <c r="AA252" s="376">
        <f t="shared" si="11"/>
        <v>2.871151337786397E-4</v>
      </c>
    </row>
    <row r="253" spans="1:27">
      <c r="A253" s="244">
        <f t="shared" si="9"/>
        <v>25.700000000000099</v>
      </c>
      <c r="B253" s="241">
        <v>6.1</v>
      </c>
      <c r="C253" s="242">
        <v>10</v>
      </c>
      <c r="D253" s="243">
        <v>15.1</v>
      </c>
      <c r="E253" s="241">
        <v>6.7</v>
      </c>
      <c r="F253" s="242">
        <v>11.1</v>
      </c>
      <c r="G253" s="243">
        <v>16.899999999999999</v>
      </c>
      <c r="H253" s="241">
        <v>7.6</v>
      </c>
      <c r="I253" s="242">
        <v>13</v>
      </c>
      <c r="J253" s="243">
        <v>20</v>
      </c>
      <c r="K253" s="241">
        <v>9.5</v>
      </c>
      <c r="L253" s="242">
        <v>17.100000000000001</v>
      </c>
      <c r="M253" s="243">
        <v>26.8</v>
      </c>
      <c r="N253" s="241">
        <v>15.7</v>
      </c>
      <c r="O253" s="242">
        <v>29.7</v>
      </c>
      <c r="P253" s="243">
        <v>47.3</v>
      </c>
      <c r="Z253" s="244">
        <f t="shared" si="10"/>
        <v>25.700000000000099</v>
      </c>
      <c r="AA253" s="376">
        <f t="shared" si="11"/>
        <v>2.8405333992522337E-4</v>
      </c>
    </row>
    <row r="254" spans="1:27">
      <c r="A254" s="244">
        <f t="shared" si="9"/>
        <v>25.8000000000001</v>
      </c>
      <c r="B254" s="241">
        <v>6.1</v>
      </c>
      <c r="C254" s="242">
        <v>9.9</v>
      </c>
      <c r="D254" s="243">
        <v>14.8</v>
      </c>
      <c r="E254" s="241">
        <v>6.7</v>
      </c>
      <c r="F254" s="242">
        <v>11</v>
      </c>
      <c r="G254" s="243">
        <v>16.600000000000001</v>
      </c>
      <c r="H254" s="241">
        <v>7.6</v>
      </c>
      <c r="I254" s="242">
        <v>12.8</v>
      </c>
      <c r="J254" s="243">
        <v>19.7</v>
      </c>
      <c r="K254" s="241">
        <v>9.5</v>
      </c>
      <c r="L254" s="242">
        <v>16.899999999999999</v>
      </c>
      <c r="M254" s="243">
        <v>26.4</v>
      </c>
      <c r="N254" s="241">
        <v>15.7</v>
      </c>
      <c r="O254" s="242">
        <v>29.3</v>
      </c>
      <c r="P254" s="243">
        <v>46.5</v>
      </c>
      <c r="Z254" s="244">
        <f t="shared" si="10"/>
        <v>25.8000000000001</v>
      </c>
      <c r="AA254" s="376">
        <f t="shared" si="11"/>
        <v>2.8103589800770336E-4</v>
      </c>
    </row>
    <row r="255" spans="1:27">
      <c r="A255" s="244">
        <f t="shared" si="9"/>
        <v>25.900000000000102</v>
      </c>
      <c r="B255" s="241">
        <v>6.1</v>
      </c>
      <c r="C255" s="242">
        <v>9.8000000000000007</v>
      </c>
      <c r="D255" s="243">
        <v>14.6</v>
      </c>
      <c r="E255" s="241">
        <v>6.7</v>
      </c>
      <c r="F255" s="242">
        <v>10.9</v>
      </c>
      <c r="G255" s="243">
        <v>16.399999999999999</v>
      </c>
      <c r="H255" s="241">
        <v>7.6</v>
      </c>
      <c r="I255" s="242">
        <v>12.7</v>
      </c>
      <c r="J255" s="243">
        <v>19.399999999999999</v>
      </c>
      <c r="K255" s="241">
        <v>9.5</v>
      </c>
      <c r="L255" s="242">
        <v>16.7</v>
      </c>
      <c r="M255" s="243">
        <v>25.9</v>
      </c>
      <c r="N255" s="241">
        <v>15.7</v>
      </c>
      <c r="O255" s="242">
        <v>29</v>
      </c>
      <c r="P255" s="243">
        <v>45.7</v>
      </c>
      <c r="Z255" s="244">
        <f t="shared" si="10"/>
        <v>25.900000000000102</v>
      </c>
      <c r="AA255" s="376">
        <f t="shared" si="11"/>
        <v>2.7806199737074325E-4</v>
      </c>
    </row>
    <row r="256" spans="1:27">
      <c r="A256" s="244">
        <f t="shared" si="9"/>
        <v>26.000000000000103</v>
      </c>
      <c r="B256" s="241">
        <v>6.1</v>
      </c>
      <c r="C256" s="242">
        <v>9.6999999999999993</v>
      </c>
      <c r="D256" s="243">
        <v>14.4</v>
      </c>
      <c r="E256" s="241">
        <v>6.7</v>
      </c>
      <c r="F256" s="242">
        <v>10.8</v>
      </c>
      <c r="G256" s="243">
        <v>16.100000000000001</v>
      </c>
      <c r="H256" s="241">
        <v>7.6</v>
      </c>
      <c r="I256" s="242">
        <v>12.5</v>
      </c>
      <c r="J256" s="243">
        <v>19.100000000000001</v>
      </c>
      <c r="K256" s="241">
        <v>9.5</v>
      </c>
      <c r="L256" s="242">
        <v>16.5</v>
      </c>
      <c r="M256" s="243">
        <v>25.5</v>
      </c>
      <c r="N256" s="241">
        <v>15.7</v>
      </c>
      <c r="O256" s="242">
        <v>28.7</v>
      </c>
      <c r="P256" s="243">
        <v>45</v>
      </c>
      <c r="Z256" s="244">
        <f t="shared" si="10"/>
        <v>26.000000000000103</v>
      </c>
      <c r="AA256" s="376">
        <f t="shared" si="11"/>
        <v>2.7513084522656745E-4</v>
      </c>
    </row>
    <row r="257" spans="1:27">
      <c r="A257" s="244">
        <f t="shared" si="9"/>
        <v>26.100000000000104</v>
      </c>
      <c r="B257" s="241">
        <v>6.1</v>
      </c>
      <c r="C257" s="242">
        <v>9.6</v>
      </c>
      <c r="D257" s="243">
        <v>14.2</v>
      </c>
      <c r="E257" s="241">
        <v>6.7</v>
      </c>
      <c r="F257" s="242">
        <v>10.7</v>
      </c>
      <c r="G257" s="243">
        <v>15.9</v>
      </c>
      <c r="H257" s="241">
        <v>7.6</v>
      </c>
      <c r="I257" s="242">
        <v>12.4</v>
      </c>
      <c r="J257" s="243">
        <v>18.8</v>
      </c>
      <c r="K257" s="241">
        <v>9.5</v>
      </c>
      <c r="L257" s="242">
        <v>16.3</v>
      </c>
      <c r="M257" s="243">
        <v>25.2</v>
      </c>
      <c r="N257" s="241">
        <v>15.7</v>
      </c>
      <c r="O257" s="242">
        <v>28.3</v>
      </c>
      <c r="P257" s="243">
        <v>44.3</v>
      </c>
      <c r="Z257" s="244">
        <f t="shared" si="10"/>
        <v>26.100000000000104</v>
      </c>
      <c r="AA257" s="376">
        <f t="shared" si="11"/>
        <v>2.7224166619442108E-4</v>
      </c>
    </row>
    <row r="258" spans="1:27">
      <c r="A258" s="244">
        <f t="shared" si="9"/>
        <v>26.200000000000106</v>
      </c>
      <c r="B258" s="241">
        <v>6.1</v>
      </c>
      <c r="C258" s="242">
        <v>9.5</v>
      </c>
      <c r="D258" s="243">
        <v>14</v>
      </c>
      <c r="E258" s="241">
        <v>6.7</v>
      </c>
      <c r="F258" s="242">
        <v>10.6</v>
      </c>
      <c r="G258" s="243">
        <v>15.7</v>
      </c>
      <c r="H258" s="241">
        <v>7.6</v>
      </c>
      <c r="I258" s="242">
        <v>12.3</v>
      </c>
      <c r="J258" s="243">
        <v>18.5</v>
      </c>
      <c r="K258" s="241">
        <v>9.5</v>
      </c>
      <c r="L258" s="242">
        <v>16.2</v>
      </c>
      <c r="M258" s="243">
        <v>24.8</v>
      </c>
      <c r="N258" s="241">
        <v>15.7</v>
      </c>
      <c r="O258" s="242">
        <v>28</v>
      </c>
      <c r="P258" s="243">
        <v>43.7</v>
      </c>
      <c r="Z258" s="244">
        <f t="shared" si="10"/>
        <v>26.200000000000106</v>
      </c>
      <c r="AA258" s="376">
        <f t="shared" si="11"/>
        <v>2.6939370185360717E-4</v>
      </c>
    </row>
    <row r="259" spans="1:27">
      <c r="A259" s="244">
        <f t="shared" si="9"/>
        <v>26.300000000000107</v>
      </c>
      <c r="B259" s="241">
        <v>6.1</v>
      </c>
      <c r="C259" s="242">
        <v>9.4</v>
      </c>
      <c r="D259" s="243">
        <v>13.8</v>
      </c>
      <c r="E259" s="241">
        <v>6.7</v>
      </c>
      <c r="F259" s="242">
        <v>10.5</v>
      </c>
      <c r="G259" s="243">
        <v>15.5</v>
      </c>
      <c r="H259" s="241">
        <v>7.6</v>
      </c>
      <c r="I259" s="242">
        <v>12.2</v>
      </c>
      <c r="J259" s="243">
        <v>18.3</v>
      </c>
      <c r="K259" s="241">
        <v>9.5</v>
      </c>
      <c r="L259" s="242">
        <v>16</v>
      </c>
      <c r="M259" s="243">
        <v>24.4</v>
      </c>
      <c r="N259" s="241">
        <v>15.7</v>
      </c>
      <c r="O259" s="242">
        <v>27.8</v>
      </c>
      <c r="P259" s="243">
        <v>43.1</v>
      </c>
      <c r="Z259" s="244">
        <f t="shared" si="10"/>
        <v>26.300000000000107</v>
      </c>
      <c r="AA259" s="376">
        <f t="shared" si="11"/>
        <v>2.6658621030964977E-4</v>
      </c>
    </row>
    <row r="260" spans="1:27">
      <c r="A260" s="244">
        <f t="shared" si="9"/>
        <v>26.400000000000109</v>
      </c>
      <c r="B260" s="241">
        <v>6.1</v>
      </c>
      <c r="C260" s="242">
        <v>9.4</v>
      </c>
      <c r="D260" s="243">
        <v>13.6</v>
      </c>
      <c r="E260" s="241">
        <v>6.7</v>
      </c>
      <c r="F260" s="242">
        <v>10.4</v>
      </c>
      <c r="G260" s="243">
        <v>15.3</v>
      </c>
      <c r="H260" s="241">
        <v>7.6</v>
      </c>
      <c r="I260" s="242">
        <v>12.1</v>
      </c>
      <c r="J260" s="243">
        <v>18</v>
      </c>
      <c r="K260" s="241">
        <v>9.5</v>
      </c>
      <c r="L260" s="242">
        <v>15.9</v>
      </c>
      <c r="M260" s="243">
        <v>24.1</v>
      </c>
      <c r="N260" s="241">
        <v>15.7</v>
      </c>
      <c r="O260" s="242">
        <v>27.5</v>
      </c>
      <c r="P260" s="243">
        <v>42.5</v>
      </c>
      <c r="Z260" s="244">
        <f t="shared" si="10"/>
        <v>26.400000000000109</v>
      </c>
      <c r="AA260" s="376">
        <f t="shared" si="11"/>
        <v>2.6381846577315185E-4</v>
      </c>
    </row>
    <row r="261" spans="1:27">
      <c r="A261" s="244">
        <f t="shared" si="9"/>
        <v>26.50000000000011</v>
      </c>
      <c r="B261" s="241">
        <v>6.1</v>
      </c>
      <c r="C261" s="242">
        <v>9.3000000000000007</v>
      </c>
      <c r="D261" s="243">
        <v>13.5</v>
      </c>
      <c r="E261" s="241">
        <v>6.7</v>
      </c>
      <c r="F261" s="242">
        <v>10.3</v>
      </c>
      <c r="G261" s="243">
        <v>15.1</v>
      </c>
      <c r="H261" s="241">
        <v>7.6</v>
      </c>
      <c r="I261" s="242">
        <v>12</v>
      </c>
      <c r="J261" s="243">
        <v>17.8</v>
      </c>
      <c r="K261" s="241">
        <v>9.5</v>
      </c>
      <c r="L261" s="242">
        <v>15.7</v>
      </c>
      <c r="M261" s="243">
        <v>23.8</v>
      </c>
      <c r="N261" s="241">
        <v>15.7</v>
      </c>
      <c r="O261" s="242">
        <v>27.3</v>
      </c>
      <c r="P261" s="243">
        <v>41.9</v>
      </c>
      <c r="Z261" s="244">
        <f t="shared" si="10"/>
        <v>26.50000000000011</v>
      </c>
      <c r="AA261" s="376">
        <f t="shared" si="11"/>
        <v>2.6108975815092815E-4</v>
      </c>
    </row>
    <row r="262" spans="1:27">
      <c r="A262" s="244">
        <f t="shared" si="9"/>
        <v>26.600000000000112</v>
      </c>
      <c r="B262" s="241">
        <v>6.2</v>
      </c>
      <c r="C262" s="242">
        <v>9.1999999999999993</v>
      </c>
      <c r="D262" s="243">
        <v>13.3</v>
      </c>
      <c r="E262" s="241">
        <v>6.7</v>
      </c>
      <c r="F262" s="242">
        <v>10.199999999999999</v>
      </c>
      <c r="G262" s="243">
        <v>14.9</v>
      </c>
      <c r="H262" s="241">
        <v>7.6</v>
      </c>
      <c r="I262" s="242">
        <v>11.9</v>
      </c>
      <c r="J262" s="243">
        <v>17.600000000000001</v>
      </c>
      <c r="K262" s="241">
        <v>9.6</v>
      </c>
      <c r="L262" s="242">
        <v>15.6</v>
      </c>
      <c r="M262" s="243">
        <v>23.5</v>
      </c>
      <c r="N262" s="241">
        <v>15.7</v>
      </c>
      <c r="O262" s="242">
        <v>27</v>
      </c>
      <c r="P262" s="243">
        <v>41.4</v>
      </c>
      <c r="Z262" s="244">
        <f t="shared" si="10"/>
        <v>26.600000000000112</v>
      </c>
      <c r="AA262" s="376">
        <f t="shared" si="11"/>
        <v>2.583993926490111E-4</v>
      </c>
    </row>
    <row r="263" spans="1:27">
      <c r="A263" s="244">
        <f t="shared" ref="A263:A326" si="12">A262+0.1</f>
        <v>26.700000000000113</v>
      </c>
      <c r="B263" s="241">
        <v>6.2</v>
      </c>
      <c r="C263" s="242">
        <v>9.1999999999999993</v>
      </c>
      <c r="D263" s="243">
        <v>13.2</v>
      </c>
      <c r="E263" s="241">
        <v>6.7</v>
      </c>
      <c r="F263" s="242">
        <v>10.199999999999999</v>
      </c>
      <c r="G263" s="243">
        <v>14.8</v>
      </c>
      <c r="H263" s="241">
        <v>7.6</v>
      </c>
      <c r="I263" s="242">
        <v>11.8</v>
      </c>
      <c r="J263" s="243">
        <v>17.399999999999999</v>
      </c>
      <c r="K263" s="241">
        <v>9.6</v>
      </c>
      <c r="L263" s="242">
        <v>15.5</v>
      </c>
      <c r="M263" s="243">
        <v>23.3</v>
      </c>
      <c r="N263" s="241">
        <v>15.7</v>
      </c>
      <c r="O263" s="242">
        <v>26.8</v>
      </c>
      <c r="P263" s="243">
        <v>40.9</v>
      </c>
      <c r="Z263" s="244">
        <f t="shared" ref="Z263:Z326" si="13">Z262+0.1</f>
        <v>26.700000000000113</v>
      </c>
      <c r="AA263" s="376">
        <f t="shared" ref="AA263:AA326" si="14">T_gal(Z263)</f>
        <v>2.5574668938714264E-4</v>
      </c>
    </row>
    <row r="264" spans="1:27">
      <c r="A264" s="244">
        <f t="shared" si="12"/>
        <v>26.800000000000114</v>
      </c>
      <c r="B264" s="241">
        <v>6.2</v>
      </c>
      <c r="C264" s="242">
        <v>9.1</v>
      </c>
      <c r="D264" s="243">
        <v>13.1</v>
      </c>
      <c r="E264" s="241">
        <v>6.7</v>
      </c>
      <c r="F264" s="242">
        <v>10.1</v>
      </c>
      <c r="G264" s="243">
        <v>14.6</v>
      </c>
      <c r="H264" s="241">
        <v>7.6</v>
      </c>
      <c r="I264" s="242">
        <v>11.7</v>
      </c>
      <c r="J264" s="243">
        <v>17.2</v>
      </c>
      <c r="K264" s="241">
        <v>9.6</v>
      </c>
      <c r="L264" s="242">
        <v>15.4</v>
      </c>
      <c r="M264" s="243">
        <v>23</v>
      </c>
      <c r="N264" s="241">
        <v>15.7</v>
      </c>
      <c r="O264" s="242">
        <v>26.6</v>
      </c>
      <c r="P264" s="243">
        <v>40.5</v>
      </c>
      <c r="Z264" s="244">
        <f t="shared" si="13"/>
        <v>26.800000000000114</v>
      </c>
      <c r="AA264" s="376">
        <f t="shared" si="14"/>
        <v>2.5313098302437719E-4</v>
      </c>
    </row>
    <row r="265" spans="1:27">
      <c r="A265" s="244">
        <f t="shared" si="12"/>
        <v>26.900000000000116</v>
      </c>
      <c r="B265" s="241">
        <v>6.2</v>
      </c>
      <c r="C265" s="242">
        <v>9.1</v>
      </c>
      <c r="D265" s="243">
        <v>12.9</v>
      </c>
      <c r="E265" s="241">
        <v>6.7</v>
      </c>
      <c r="F265" s="242">
        <v>10.1</v>
      </c>
      <c r="G265" s="243">
        <v>14.5</v>
      </c>
      <c r="H265" s="241">
        <v>7.6</v>
      </c>
      <c r="I265" s="242">
        <v>11.7</v>
      </c>
      <c r="J265" s="243">
        <v>17</v>
      </c>
      <c r="K265" s="241">
        <v>9.6</v>
      </c>
      <c r="L265" s="242">
        <v>15.3</v>
      </c>
      <c r="M265" s="243">
        <v>22.8</v>
      </c>
      <c r="N265" s="241">
        <v>15.8</v>
      </c>
      <c r="O265" s="242">
        <v>26.4</v>
      </c>
      <c r="P265" s="243">
        <v>40</v>
      </c>
      <c r="Z265" s="244">
        <f t="shared" si="13"/>
        <v>26.900000000000116</v>
      </c>
      <c r="AA265" s="376">
        <f t="shared" si="14"/>
        <v>2.5055162239543652E-4</v>
      </c>
    </row>
    <row r="266" spans="1:27">
      <c r="A266" s="244">
        <f t="shared" si="12"/>
        <v>27.000000000000117</v>
      </c>
      <c r="B266" s="241">
        <v>6.2</v>
      </c>
      <c r="C266" s="242">
        <v>9</v>
      </c>
      <c r="D266" s="243">
        <v>12.8</v>
      </c>
      <c r="E266" s="241">
        <v>6.7</v>
      </c>
      <c r="F266" s="242">
        <v>10</v>
      </c>
      <c r="G266" s="243">
        <v>14.3</v>
      </c>
      <c r="H266" s="241">
        <v>7.6</v>
      </c>
      <c r="I266" s="242">
        <v>11.6</v>
      </c>
      <c r="J266" s="243">
        <v>16.899999999999999</v>
      </c>
      <c r="K266" s="241">
        <v>9.6</v>
      </c>
      <c r="L266" s="242">
        <v>15.2</v>
      </c>
      <c r="M266" s="243">
        <v>22.5</v>
      </c>
      <c r="N266" s="241">
        <v>15.8</v>
      </c>
      <c r="O266" s="242">
        <v>26.3</v>
      </c>
      <c r="P266" s="243">
        <v>39.6</v>
      </c>
      <c r="Z266" s="244">
        <f t="shared" si="13"/>
        <v>27.000000000000117</v>
      </c>
      <c r="AA266" s="376">
        <f t="shared" si="14"/>
        <v>2.4800797015746805E-4</v>
      </c>
    </row>
    <row r="267" spans="1:27">
      <c r="A267" s="244">
        <f t="shared" si="12"/>
        <v>27.100000000000119</v>
      </c>
      <c r="B267" s="241">
        <v>6.2</v>
      </c>
      <c r="C267" s="242">
        <v>9</v>
      </c>
      <c r="D267" s="243">
        <v>12.7</v>
      </c>
      <c r="E267" s="241">
        <v>6.7</v>
      </c>
      <c r="F267" s="242">
        <v>9.9</v>
      </c>
      <c r="G267" s="243">
        <v>14.2</v>
      </c>
      <c r="H267" s="241">
        <v>7.6</v>
      </c>
      <c r="I267" s="242">
        <v>11.5</v>
      </c>
      <c r="J267" s="243">
        <v>16.7</v>
      </c>
      <c r="K267" s="241">
        <v>9.6</v>
      </c>
      <c r="L267" s="242">
        <v>15.1</v>
      </c>
      <c r="M267" s="243">
        <v>22.3</v>
      </c>
      <c r="N267" s="241">
        <v>15.8</v>
      </c>
      <c r="O267" s="242">
        <v>26.1</v>
      </c>
      <c r="P267" s="243">
        <v>39.299999999999997</v>
      </c>
      <c r="Z267" s="244">
        <f t="shared" si="13"/>
        <v>27.100000000000119</v>
      </c>
      <c r="AA267" s="376">
        <f t="shared" si="14"/>
        <v>2.4549940244687285E-4</v>
      </c>
    </row>
    <row r="268" spans="1:27">
      <c r="A268" s="244">
        <f t="shared" si="12"/>
        <v>27.20000000000012</v>
      </c>
      <c r="B268" s="241">
        <v>6.2</v>
      </c>
      <c r="C268" s="242">
        <v>8.9</v>
      </c>
      <c r="D268" s="243">
        <v>12.6</v>
      </c>
      <c r="E268" s="241">
        <v>6.7</v>
      </c>
      <c r="F268" s="242">
        <v>9.9</v>
      </c>
      <c r="G268" s="243">
        <v>14.1</v>
      </c>
      <c r="H268" s="241">
        <v>7.6</v>
      </c>
      <c r="I268" s="242">
        <v>11.5</v>
      </c>
      <c r="J268" s="243">
        <v>16.600000000000001</v>
      </c>
      <c r="K268" s="241">
        <v>9.6</v>
      </c>
      <c r="L268" s="242">
        <v>15</v>
      </c>
      <c r="M268" s="243">
        <v>22.1</v>
      </c>
      <c r="N268" s="241">
        <v>15.9</v>
      </c>
      <c r="O268" s="242">
        <v>26</v>
      </c>
      <c r="P268" s="243">
        <v>38.9</v>
      </c>
      <c r="Z268" s="244">
        <f t="shared" si="13"/>
        <v>27.20000000000012</v>
      </c>
      <c r="AA268" s="376">
        <f t="shared" si="14"/>
        <v>2.4302530854587991E-4</v>
      </c>
    </row>
    <row r="269" spans="1:27">
      <c r="A269" s="244">
        <f t="shared" si="12"/>
        <v>27.300000000000122</v>
      </c>
      <c r="B269" s="241">
        <v>6.2</v>
      </c>
      <c r="C269" s="242">
        <v>8.9</v>
      </c>
      <c r="D269" s="243">
        <v>12.5</v>
      </c>
      <c r="E269" s="241">
        <v>6.7</v>
      </c>
      <c r="F269" s="242">
        <v>9.9</v>
      </c>
      <c r="G269" s="243">
        <v>14</v>
      </c>
      <c r="H269" s="241">
        <v>7.6</v>
      </c>
      <c r="I269" s="242">
        <v>11.4</v>
      </c>
      <c r="J269" s="243">
        <v>16.5</v>
      </c>
      <c r="K269" s="241">
        <v>9.6999999999999993</v>
      </c>
      <c r="L269" s="242">
        <v>15</v>
      </c>
      <c r="M269" s="243">
        <v>21.9</v>
      </c>
      <c r="N269" s="241">
        <v>15.9</v>
      </c>
      <c r="O269" s="242">
        <v>25.8</v>
      </c>
      <c r="P269" s="243">
        <v>38.6</v>
      </c>
      <c r="Z269" s="244">
        <f t="shared" si="13"/>
        <v>27.300000000000122</v>
      </c>
      <c r="AA269" s="376">
        <f t="shared" si="14"/>
        <v>2.4058509055855493E-4</v>
      </c>
    </row>
    <row r="270" spans="1:27">
      <c r="A270" s="244">
        <f t="shared" si="12"/>
        <v>27.400000000000123</v>
      </c>
      <c r="B270" s="241">
        <v>6.2</v>
      </c>
      <c r="C270" s="242">
        <v>8.9</v>
      </c>
      <c r="D270" s="243">
        <v>12.4</v>
      </c>
      <c r="E270" s="241">
        <v>6.8</v>
      </c>
      <c r="F270" s="242">
        <v>9.8000000000000007</v>
      </c>
      <c r="G270" s="243">
        <v>13.9</v>
      </c>
      <c r="H270" s="241">
        <v>7.7</v>
      </c>
      <c r="I270" s="242">
        <v>11.4</v>
      </c>
      <c r="J270" s="243">
        <v>16.3</v>
      </c>
      <c r="K270" s="241">
        <v>9.6999999999999993</v>
      </c>
      <c r="L270" s="242">
        <v>14.9</v>
      </c>
      <c r="M270" s="243">
        <v>21.8</v>
      </c>
      <c r="N270" s="241">
        <v>15.9</v>
      </c>
      <c r="O270" s="242">
        <v>25.7</v>
      </c>
      <c r="P270" s="243">
        <v>38.200000000000003</v>
      </c>
      <c r="Z270" s="244">
        <f t="shared" si="13"/>
        <v>27.400000000000123</v>
      </c>
      <c r="AA270" s="376">
        <f t="shared" si="14"/>
        <v>2.381781630959447E-4</v>
      </c>
    </row>
    <row r="271" spans="1:27">
      <c r="A271" s="244">
        <f t="shared" si="12"/>
        <v>27.500000000000124</v>
      </c>
      <c r="B271" s="241">
        <v>6.2</v>
      </c>
      <c r="C271" s="242">
        <v>8.8000000000000007</v>
      </c>
      <c r="D271" s="243">
        <v>12.3</v>
      </c>
      <c r="E271" s="241">
        <v>6.8</v>
      </c>
      <c r="F271" s="242">
        <v>9.8000000000000007</v>
      </c>
      <c r="G271" s="243">
        <v>13.8</v>
      </c>
      <c r="H271" s="241">
        <v>7.7</v>
      </c>
      <c r="I271" s="242">
        <v>11.3</v>
      </c>
      <c r="J271" s="243">
        <v>16.2</v>
      </c>
      <c r="K271" s="241">
        <v>9.6999999999999993</v>
      </c>
      <c r="L271" s="242">
        <v>14.8</v>
      </c>
      <c r="M271" s="243">
        <v>21.6</v>
      </c>
      <c r="N271" s="241">
        <v>16</v>
      </c>
      <c r="O271" s="242">
        <v>25.6</v>
      </c>
      <c r="P271" s="243">
        <v>37.9</v>
      </c>
      <c r="Z271" s="244">
        <f t="shared" si="13"/>
        <v>27.500000000000124</v>
      </c>
      <c r="AA271" s="376">
        <f t="shared" si="14"/>
        <v>2.3580395297006552E-4</v>
      </c>
    </row>
    <row r="272" spans="1:27">
      <c r="A272" s="244">
        <f t="shared" si="12"/>
        <v>27.600000000000126</v>
      </c>
      <c r="B272" s="241">
        <v>6.2</v>
      </c>
      <c r="C272" s="242">
        <v>8.8000000000000007</v>
      </c>
      <c r="D272" s="243">
        <v>12.2</v>
      </c>
      <c r="E272" s="241">
        <v>6.8</v>
      </c>
      <c r="F272" s="242">
        <v>9.6999999999999993</v>
      </c>
      <c r="G272" s="243">
        <v>13.7</v>
      </c>
      <c r="H272" s="241">
        <v>7.7</v>
      </c>
      <c r="I272" s="242">
        <v>11.3</v>
      </c>
      <c r="J272" s="243">
        <v>16.100000000000001</v>
      </c>
      <c r="K272" s="241">
        <v>9.6999999999999993</v>
      </c>
      <c r="L272" s="242">
        <v>14.8</v>
      </c>
      <c r="M272" s="243">
        <v>21.4</v>
      </c>
      <c r="N272" s="241">
        <v>16</v>
      </c>
      <c r="O272" s="242">
        <v>25.5</v>
      </c>
      <c r="P272" s="243">
        <v>37.6</v>
      </c>
      <c r="Z272" s="244">
        <f t="shared" si="13"/>
        <v>27.600000000000126</v>
      </c>
      <c r="AA272" s="376">
        <f t="shared" si="14"/>
        <v>2.3346189889645753E-4</v>
      </c>
    </row>
    <row r="273" spans="1:27">
      <c r="A273" s="244">
        <f t="shared" si="12"/>
        <v>27.700000000000127</v>
      </c>
      <c r="B273" s="241">
        <v>6.2</v>
      </c>
      <c r="C273" s="242">
        <v>8.8000000000000007</v>
      </c>
      <c r="D273" s="243">
        <v>12.2</v>
      </c>
      <c r="E273" s="241">
        <v>6.8</v>
      </c>
      <c r="F273" s="242">
        <v>9.6999999999999993</v>
      </c>
      <c r="G273" s="243">
        <v>13.6</v>
      </c>
      <c r="H273" s="241">
        <v>7.7</v>
      </c>
      <c r="I273" s="242">
        <v>11.3</v>
      </c>
      <c r="J273" s="243">
        <v>16</v>
      </c>
      <c r="K273" s="241">
        <v>9.6999999999999993</v>
      </c>
      <c r="L273" s="242">
        <v>14.7</v>
      </c>
      <c r="M273" s="243">
        <v>21.3</v>
      </c>
      <c r="N273" s="241">
        <v>16.100000000000001</v>
      </c>
      <c r="O273" s="242">
        <v>25.4</v>
      </c>
      <c r="P273" s="243">
        <v>37.4</v>
      </c>
      <c r="Z273" s="244">
        <f t="shared" si="13"/>
        <v>27.700000000000127</v>
      </c>
      <c r="AA273" s="376">
        <f t="shared" si="14"/>
        <v>2.3115145120503424E-4</v>
      </c>
    </row>
    <row r="274" spans="1:27">
      <c r="A274" s="244">
        <f t="shared" si="12"/>
        <v>27.800000000000129</v>
      </c>
      <c r="B274" s="241">
        <v>6.3</v>
      </c>
      <c r="C274" s="242">
        <v>8.8000000000000007</v>
      </c>
      <c r="D274" s="243">
        <v>12.1</v>
      </c>
      <c r="E274" s="241">
        <v>6.8</v>
      </c>
      <c r="F274" s="242">
        <v>9.6999999999999993</v>
      </c>
      <c r="G274" s="243">
        <v>13.5</v>
      </c>
      <c r="H274" s="241">
        <v>7.7</v>
      </c>
      <c r="I274" s="242">
        <v>11.2</v>
      </c>
      <c r="J274" s="243">
        <v>15.9</v>
      </c>
      <c r="K274" s="241">
        <v>9.8000000000000007</v>
      </c>
      <c r="L274" s="242">
        <v>14.7</v>
      </c>
      <c r="M274" s="243">
        <v>21.2</v>
      </c>
      <c r="N274" s="241">
        <v>16.100000000000001</v>
      </c>
      <c r="O274" s="242">
        <v>25.3</v>
      </c>
      <c r="P274" s="243">
        <v>37.1</v>
      </c>
      <c r="Z274" s="244">
        <f t="shared" si="13"/>
        <v>27.800000000000129</v>
      </c>
      <c r="AA274" s="376">
        <f t="shared" si="14"/>
        <v>2.2887207155896839E-4</v>
      </c>
    </row>
    <row r="275" spans="1:27">
      <c r="A275" s="244">
        <f t="shared" si="12"/>
        <v>27.90000000000013</v>
      </c>
      <c r="B275" s="241">
        <v>6.3</v>
      </c>
      <c r="C275" s="242">
        <v>8.6999999999999993</v>
      </c>
      <c r="D275" s="243">
        <v>12</v>
      </c>
      <c r="E275" s="241">
        <v>6.8</v>
      </c>
      <c r="F275" s="242">
        <v>9.6999999999999993</v>
      </c>
      <c r="G275" s="243">
        <v>13.4</v>
      </c>
      <c r="H275" s="241">
        <v>7.7</v>
      </c>
      <c r="I275" s="242">
        <v>11.2</v>
      </c>
      <c r="J275" s="243">
        <v>15.8</v>
      </c>
      <c r="K275" s="241">
        <v>9.8000000000000007</v>
      </c>
      <c r="L275" s="242">
        <v>14.6</v>
      </c>
      <c r="M275" s="243">
        <v>21</v>
      </c>
      <c r="N275" s="241">
        <v>16.100000000000001</v>
      </c>
      <c r="O275" s="242">
        <v>25.2</v>
      </c>
      <c r="P275" s="243">
        <v>36.9</v>
      </c>
      <c r="Z275" s="244">
        <f t="shared" si="13"/>
        <v>27.90000000000013</v>
      </c>
      <c r="AA275" s="376">
        <f t="shared" si="14"/>
        <v>2.2662323268136088E-4</v>
      </c>
    </row>
    <row r="276" spans="1:27">
      <c r="A276" s="244">
        <f t="shared" si="12"/>
        <v>28.000000000000131</v>
      </c>
      <c r="B276" s="241">
        <v>6.3</v>
      </c>
      <c r="C276" s="242">
        <v>8.6999999999999993</v>
      </c>
      <c r="D276" s="243">
        <v>12</v>
      </c>
      <c r="E276" s="241">
        <v>6.8</v>
      </c>
      <c r="F276" s="242">
        <v>9.6</v>
      </c>
      <c r="G276" s="243">
        <v>13.4</v>
      </c>
      <c r="H276" s="241">
        <v>7.8</v>
      </c>
      <c r="I276" s="242">
        <v>11.2</v>
      </c>
      <c r="J276" s="243">
        <v>15.7</v>
      </c>
      <c r="K276" s="241">
        <v>9.8000000000000007</v>
      </c>
      <c r="L276" s="242">
        <v>14.6</v>
      </c>
      <c r="M276" s="243">
        <v>20.9</v>
      </c>
      <c r="N276" s="241">
        <v>16.2</v>
      </c>
      <c r="O276" s="242">
        <v>25.1</v>
      </c>
      <c r="P276" s="243">
        <v>36.700000000000003</v>
      </c>
      <c r="Z276" s="244">
        <f t="shared" si="13"/>
        <v>28.000000000000131</v>
      </c>
      <c r="AA276" s="376">
        <f t="shared" si="14"/>
        <v>2.2440441808945226E-4</v>
      </c>
    </row>
    <row r="277" spans="1:27">
      <c r="A277" s="244">
        <f t="shared" si="12"/>
        <v>28.100000000000133</v>
      </c>
      <c r="B277" s="241">
        <v>6.3</v>
      </c>
      <c r="C277" s="242">
        <v>8.6999999999999993</v>
      </c>
      <c r="D277" s="243">
        <v>11.9</v>
      </c>
      <c r="E277" s="241">
        <v>6.9</v>
      </c>
      <c r="F277" s="242">
        <v>9.6</v>
      </c>
      <c r="G277" s="243">
        <v>13.3</v>
      </c>
      <c r="H277" s="241">
        <v>7.8</v>
      </c>
      <c r="I277" s="242">
        <v>11.1</v>
      </c>
      <c r="J277" s="243">
        <v>15.6</v>
      </c>
      <c r="K277" s="241">
        <v>9.8000000000000007</v>
      </c>
      <c r="L277" s="242">
        <v>14.6</v>
      </c>
      <c r="M277" s="243">
        <v>20.8</v>
      </c>
      <c r="N277" s="241">
        <v>16.2</v>
      </c>
      <c r="O277" s="242">
        <v>25.1</v>
      </c>
      <c r="P277" s="243">
        <v>36.5</v>
      </c>
      <c r="Z277" s="244">
        <f t="shared" si="13"/>
        <v>28.100000000000133</v>
      </c>
      <c r="AA277" s="376">
        <f t="shared" si="14"/>
        <v>2.2221512183614133E-4</v>
      </c>
    </row>
    <row r="278" spans="1:27">
      <c r="A278" s="244">
        <f t="shared" si="12"/>
        <v>28.200000000000134</v>
      </c>
      <c r="B278" s="241">
        <v>6.3</v>
      </c>
      <c r="C278" s="242">
        <v>8.6999999999999993</v>
      </c>
      <c r="D278" s="243">
        <v>11.9</v>
      </c>
      <c r="E278" s="241">
        <v>6.9</v>
      </c>
      <c r="F278" s="242">
        <v>9.6</v>
      </c>
      <c r="G278" s="243">
        <v>13.2</v>
      </c>
      <c r="H278" s="241">
        <v>7.8</v>
      </c>
      <c r="I278" s="242">
        <v>11.1</v>
      </c>
      <c r="J278" s="243">
        <v>15.6</v>
      </c>
      <c r="K278" s="241">
        <v>9.9</v>
      </c>
      <c r="L278" s="242">
        <v>14.5</v>
      </c>
      <c r="M278" s="243">
        <v>20.7</v>
      </c>
      <c r="N278" s="241">
        <v>16.3</v>
      </c>
      <c r="O278" s="242">
        <v>25</v>
      </c>
      <c r="P278" s="243">
        <v>36.299999999999997</v>
      </c>
      <c r="Z278" s="244">
        <f t="shared" si="13"/>
        <v>28.200000000000134</v>
      </c>
      <c r="AA278" s="376">
        <f t="shared" si="14"/>
        <v>2.2005484825858562E-4</v>
      </c>
    </row>
    <row r="279" spans="1:27">
      <c r="A279" s="244">
        <f t="shared" si="12"/>
        <v>28.300000000000136</v>
      </c>
      <c r="B279" s="241">
        <v>6.3</v>
      </c>
      <c r="C279" s="242">
        <v>8.6999999999999993</v>
      </c>
      <c r="D279" s="243">
        <v>11.8</v>
      </c>
      <c r="E279" s="241">
        <v>6.9</v>
      </c>
      <c r="F279" s="242">
        <v>9.6</v>
      </c>
      <c r="G279" s="243">
        <v>13.2</v>
      </c>
      <c r="H279" s="241">
        <v>7.8</v>
      </c>
      <c r="I279" s="242">
        <v>11.1</v>
      </c>
      <c r="J279" s="243">
        <v>15.5</v>
      </c>
      <c r="K279" s="241">
        <v>9.9</v>
      </c>
      <c r="L279" s="242">
        <v>14.5</v>
      </c>
      <c r="M279" s="243">
        <v>20.6</v>
      </c>
      <c r="N279" s="241">
        <v>16.3</v>
      </c>
      <c r="O279" s="242">
        <v>25</v>
      </c>
      <c r="P279" s="243">
        <v>36.1</v>
      </c>
      <c r="Z279" s="244">
        <f t="shared" si="13"/>
        <v>28.300000000000136</v>
      </c>
      <c r="AA279" s="376">
        <f t="shared" si="14"/>
        <v>2.1792311173366493E-4</v>
      </c>
    </row>
    <row r="280" spans="1:27">
      <c r="A280" s="244">
        <f t="shared" si="12"/>
        <v>28.400000000000137</v>
      </c>
      <c r="B280" s="241">
        <v>6.3</v>
      </c>
      <c r="C280" s="242">
        <v>8.6999999999999993</v>
      </c>
      <c r="D280" s="243">
        <v>11.8</v>
      </c>
      <c r="E280" s="241">
        <v>6.9</v>
      </c>
      <c r="F280" s="242">
        <v>9.6</v>
      </c>
      <c r="G280" s="243">
        <v>13.1</v>
      </c>
      <c r="H280" s="241">
        <v>7.8</v>
      </c>
      <c r="I280" s="242">
        <v>11.1</v>
      </c>
      <c r="J280" s="243">
        <v>15.4</v>
      </c>
      <c r="K280" s="241">
        <v>9.9</v>
      </c>
      <c r="L280" s="242">
        <v>14.5</v>
      </c>
      <c r="M280" s="243">
        <v>20.5</v>
      </c>
      <c r="N280" s="241">
        <v>16.399999999999999</v>
      </c>
      <c r="O280" s="242">
        <v>24.9</v>
      </c>
      <c r="P280" s="243">
        <v>35.9</v>
      </c>
      <c r="Z280" s="244">
        <f t="shared" si="13"/>
        <v>28.400000000000137</v>
      </c>
      <c r="AA280" s="376">
        <f t="shared" si="14"/>
        <v>2.1581943644009767E-4</v>
      </c>
    </row>
    <row r="281" spans="1:27">
      <c r="A281" s="244">
        <f t="shared" si="12"/>
        <v>28.500000000000139</v>
      </c>
      <c r="B281" s="241">
        <v>6.4</v>
      </c>
      <c r="C281" s="242">
        <v>8.6</v>
      </c>
      <c r="D281" s="243">
        <v>11.7</v>
      </c>
      <c r="E281" s="241">
        <v>6.9</v>
      </c>
      <c r="F281" s="242">
        <v>9.6</v>
      </c>
      <c r="G281" s="243">
        <v>13.1</v>
      </c>
      <c r="H281" s="241">
        <v>7.9</v>
      </c>
      <c r="I281" s="242">
        <v>11.1</v>
      </c>
      <c r="J281" s="243">
        <v>15.4</v>
      </c>
      <c r="K281" s="241">
        <v>10</v>
      </c>
      <c r="L281" s="242">
        <v>14.5</v>
      </c>
      <c r="M281" s="243">
        <v>20.399999999999999</v>
      </c>
      <c r="N281" s="241">
        <v>16.5</v>
      </c>
      <c r="O281" s="242">
        <v>24.9</v>
      </c>
      <c r="P281" s="243">
        <v>35.799999999999997</v>
      </c>
      <c r="Z281" s="244">
        <f t="shared" si="13"/>
        <v>28.500000000000139</v>
      </c>
      <c r="AA281" s="376">
        <f t="shared" si="14"/>
        <v>2.1374335612700553E-4</v>
      </c>
    </row>
    <row r="282" spans="1:27">
      <c r="A282" s="244">
        <f t="shared" si="12"/>
        <v>28.60000000000014</v>
      </c>
      <c r="B282" s="241">
        <v>6.4</v>
      </c>
      <c r="C282" s="242">
        <v>8.6</v>
      </c>
      <c r="D282" s="243">
        <v>11.7</v>
      </c>
      <c r="E282" s="241">
        <v>6.9</v>
      </c>
      <c r="F282" s="242">
        <v>9.5</v>
      </c>
      <c r="G282" s="243">
        <v>13</v>
      </c>
      <c r="H282" s="241">
        <v>7.9</v>
      </c>
      <c r="I282" s="242">
        <v>11.1</v>
      </c>
      <c r="J282" s="243">
        <v>15.3</v>
      </c>
      <c r="K282" s="241">
        <v>10</v>
      </c>
      <c r="L282" s="242">
        <v>14.4</v>
      </c>
      <c r="M282" s="243">
        <v>20.3</v>
      </c>
      <c r="N282" s="241">
        <v>16.5</v>
      </c>
      <c r="O282" s="242">
        <v>24.8</v>
      </c>
      <c r="P282" s="243">
        <v>35.700000000000003</v>
      </c>
      <c r="Z282" s="244">
        <f t="shared" si="13"/>
        <v>28.60000000000014</v>
      </c>
      <c r="AA282" s="376">
        <f t="shared" si="14"/>
        <v>2.1169441388873081E-4</v>
      </c>
    </row>
    <row r="283" spans="1:27">
      <c r="A283" s="244">
        <f t="shared" si="12"/>
        <v>28.700000000000141</v>
      </c>
      <c r="B283" s="241">
        <v>6.4</v>
      </c>
      <c r="C283" s="242">
        <v>8.6</v>
      </c>
      <c r="D283" s="243">
        <v>11.6</v>
      </c>
      <c r="E283" s="241">
        <v>7</v>
      </c>
      <c r="F283" s="242">
        <v>9.5</v>
      </c>
      <c r="G283" s="243">
        <v>13</v>
      </c>
      <c r="H283" s="241">
        <v>7.9</v>
      </c>
      <c r="I283" s="242">
        <v>11</v>
      </c>
      <c r="J283" s="243">
        <v>15.2</v>
      </c>
      <c r="K283" s="241">
        <v>10</v>
      </c>
      <c r="L283" s="242">
        <v>14.4</v>
      </c>
      <c r="M283" s="243">
        <v>20.3</v>
      </c>
      <c r="N283" s="241">
        <v>16.600000000000001</v>
      </c>
      <c r="O283" s="242">
        <v>24.8</v>
      </c>
      <c r="P283" s="243">
        <v>35.5</v>
      </c>
      <c r="Z283" s="244">
        <f t="shared" si="13"/>
        <v>28.700000000000141</v>
      </c>
      <c r="AA283" s="376">
        <f t="shared" si="14"/>
        <v>2.0967216194571568E-4</v>
      </c>
    </row>
    <row r="284" spans="1:27">
      <c r="A284" s="244">
        <f t="shared" si="12"/>
        <v>28.800000000000143</v>
      </c>
      <c r="B284" s="241">
        <v>6.4</v>
      </c>
      <c r="C284" s="242">
        <v>8.6</v>
      </c>
      <c r="D284" s="243">
        <v>11.6</v>
      </c>
      <c r="E284" s="241">
        <v>7</v>
      </c>
      <c r="F284" s="242">
        <v>9.5</v>
      </c>
      <c r="G284" s="243">
        <v>12.9</v>
      </c>
      <c r="H284" s="241">
        <v>7.9</v>
      </c>
      <c r="I284" s="242">
        <v>11</v>
      </c>
      <c r="J284" s="243">
        <v>15.2</v>
      </c>
      <c r="K284" s="241">
        <v>10.1</v>
      </c>
      <c r="L284" s="242">
        <v>14.4</v>
      </c>
      <c r="M284" s="243">
        <v>20.2</v>
      </c>
      <c r="N284" s="241">
        <v>16.600000000000001</v>
      </c>
      <c r="O284" s="242">
        <v>24.8</v>
      </c>
      <c r="P284" s="243">
        <v>35.4</v>
      </c>
      <c r="Z284" s="244">
        <f t="shared" si="13"/>
        <v>28.800000000000143</v>
      </c>
      <c r="AA284" s="376">
        <f t="shared" si="14"/>
        <v>2.0767616143126011E-4</v>
      </c>
    </row>
    <row r="285" spans="1:27">
      <c r="A285" s="244">
        <f t="shared" si="12"/>
        <v>28.900000000000144</v>
      </c>
      <c r="B285" s="241">
        <v>6.4</v>
      </c>
      <c r="C285" s="242">
        <v>8.6</v>
      </c>
      <c r="D285" s="243">
        <v>11.6</v>
      </c>
      <c r="E285" s="241">
        <v>7</v>
      </c>
      <c r="F285" s="242">
        <v>9.5</v>
      </c>
      <c r="G285" s="243">
        <v>12.9</v>
      </c>
      <c r="H285" s="241">
        <v>8</v>
      </c>
      <c r="I285" s="242">
        <v>11</v>
      </c>
      <c r="J285" s="243">
        <v>15.2</v>
      </c>
      <c r="K285" s="241">
        <v>10.1</v>
      </c>
      <c r="L285" s="242">
        <v>14.4</v>
      </c>
      <c r="M285" s="243">
        <v>20.100000000000001</v>
      </c>
      <c r="N285" s="241">
        <v>16.7</v>
      </c>
      <c r="O285" s="242">
        <v>24.8</v>
      </c>
      <c r="P285" s="243">
        <v>35.299999999999997</v>
      </c>
      <c r="Z285" s="244">
        <f t="shared" si="13"/>
        <v>28.900000000000144</v>
      </c>
      <c r="AA285" s="376">
        <f t="shared" si="14"/>
        <v>2.0570598218398083E-4</v>
      </c>
    </row>
    <row r="286" spans="1:27">
      <c r="A286" s="244">
        <f t="shared" si="12"/>
        <v>29.000000000000146</v>
      </c>
      <c r="B286" s="241">
        <v>6.4</v>
      </c>
      <c r="C286" s="242">
        <v>8.6</v>
      </c>
      <c r="D286" s="243">
        <v>11.5</v>
      </c>
      <c r="E286" s="241">
        <v>7</v>
      </c>
      <c r="F286" s="242">
        <v>9.5</v>
      </c>
      <c r="G286" s="243">
        <v>12.9</v>
      </c>
      <c r="H286" s="241">
        <v>8</v>
      </c>
      <c r="I286" s="242">
        <v>11</v>
      </c>
      <c r="J286" s="243">
        <v>15.1</v>
      </c>
      <c r="K286" s="241">
        <v>10.1</v>
      </c>
      <c r="L286" s="242">
        <v>14.4</v>
      </c>
      <c r="M286" s="243">
        <v>20.100000000000001</v>
      </c>
      <c r="N286" s="241">
        <v>16.8</v>
      </c>
      <c r="O286" s="242">
        <v>24.8</v>
      </c>
      <c r="P286" s="243">
        <v>35.200000000000003</v>
      </c>
      <c r="Z286" s="244">
        <f t="shared" si="13"/>
        <v>29.000000000000146</v>
      </c>
      <c r="AA286" s="376">
        <f t="shared" si="14"/>
        <v>2.0376120254579947E-4</v>
      </c>
    </row>
    <row r="287" spans="1:27">
      <c r="A287" s="244">
        <f t="shared" si="12"/>
        <v>29.100000000000147</v>
      </c>
      <c r="B287" s="241">
        <v>6.5</v>
      </c>
      <c r="C287" s="242">
        <v>8.6</v>
      </c>
      <c r="D287" s="243">
        <v>11.5</v>
      </c>
      <c r="E287" s="241">
        <v>7</v>
      </c>
      <c r="F287" s="242">
        <v>9.5</v>
      </c>
      <c r="G287" s="243">
        <v>12.8</v>
      </c>
      <c r="H287" s="241">
        <v>8</v>
      </c>
      <c r="I287" s="242">
        <v>11</v>
      </c>
      <c r="J287" s="243">
        <v>15.1</v>
      </c>
      <c r="K287" s="241">
        <v>10.199999999999999</v>
      </c>
      <c r="L287" s="242">
        <v>14.4</v>
      </c>
      <c r="M287" s="243">
        <v>20</v>
      </c>
      <c r="N287" s="241">
        <v>16.8</v>
      </c>
      <c r="O287" s="242">
        <v>24.7</v>
      </c>
      <c r="P287" s="243">
        <v>35.1</v>
      </c>
      <c r="Z287" s="244">
        <f t="shared" si="13"/>
        <v>29.100000000000147</v>
      </c>
      <c r="AA287" s="376">
        <f t="shared" si="14"/>
        <v>2.0184140916529539E-4</v>
      </c>
    </row>
    <row r="288" spans="1:27">
      <c r="A288" s="244">
        <f t="shared" si="12"/>
        <v>29.200000000000149</v>
      </c>
      <c r="B288" s="241">
        <v>6.5</v>
      </c>
      <c r="C288" s="242">
        <v>8.6</v>
      </c>
      <c r="D288" s="243">
        <v>11.5</v>
      </c>
      <c r="E288" s="241">
        <v>7.1</v>
      </c>
      <c r="F288" s="242">
        <v>9.5</v>
      </c>
      <c r="G288" s="243">
        <v>12.8</v>
      </c>
      <c r="H288" s="241">
        <v>8</v>
      </c>
      <c r="I288" s="242">
        <v>11</v>
      </c>
      <c r="J288" s="243">
        <v>15</v>
      </c>
      <c r="K288" s="241">
        <v>10.199999999999999</v>
      </c>
      <c r="L288" s="242">
        <v>14.4</v>
      </c>
      <c r="M288" s="243">
        <v>20</v>
      </c>
      <c r="N288" s="241">
        <v>16.899999999999999</v>
      </c>
      <c r="O288" s="242">
        <v>24.7</v>
      </c>
      <c r="P288" s="243">
        <v>35</v>
      </c>
      <c r="Z288" s="244">
        <f t="shared" si="13"/>
        <v>29.200000000000149</v>
      </c>
      <c r="AA288" s="376">
        <f t="shared" si="14"/>
        <v>1.9994619680626117E-4</v>
      </c>
    </row>
    <row r="289" spans="1:27">
      <c r="A289" s="244">
        <f t="shared" si="12"/>
        <v>29.30000000000015</v>
      </c>
      <c r="B289" s="241">
        <v>6.5</v>
      </c>
      <c r="C289" s="242">
        <v>8.6</v>
      </c>
      <c r="D289" s="243">
        <v>11.5</v>
      </c>
      <c r="E289" s="241">
        <v>7.1</v>
      </c>
      <c r="F289" s="242">
        <v>9.5</v>
      </c>
      <c r="G289" s="243">
        <v>12.8</v>
      </c>
      <c r="H289" s="241">
        <v>8.1</v>
      </c>
      <c r="I289" s="242">
        <v>11</v>
      </c>
      <c r="J289" s="243">
        <v>15</v>
      </c>
      <c r="K289" s="241">
        <v>10.199999999999999</v>
      </c>
      <c r="L289" s="242">
        <v>14.4</v>
      </c>
      <c r="M289" s="243">
        <v>19.899999999999999</v>
      </c>
      <c r="N289" s="241">
        <v>17</v>
      </c>
      <c r="O289" s="242">
        <v>24.8</v>
      </c>
      <c r="P289" s="243">
        <v>34.9</v>
      </c>
      <c r="Z289" s="244">
        <f t="shared" si="13"/>
        <v>29.30000000000015</v>
      </c>
      <c r="AA289" s="376">
        <f t="shared" si="14"/>
        <v>1.9807516816130758E-4</v>
      </c>
    </row>
    <row r="290" spans="1:27">
      <c r="A290" s="244">
        <f t="shared" si="12"/>
        <v>29.400000000000151</v>
      </c>
      <c r="B290" s="241">
        <v>6.5</v>
      </c>
      <c r="C290" s="242">
        <v>8.6</v>
      </c>
      <c r="D290" s="243">
        <v>11.4</v>
      </c>
      <c r="E290" s="241">
        <v>7.1</v>
      </c>
      <c r="F290" s="242">
        <v>9.5</v>
      </c>
      <c r="G290" s="243">
        <v>12.8</v>
      </c>
      <c r="H290" s="241">
        <v>8.1</v>
      </c>
      <c r="I290" s="242">
        <v>11</v>
      </c>
      <c r="J290" s="243">
        <v>15</v>
      </c>
      <c r="K290" s="241">
        <v>10.3</v>
      </c>
      <c r="L290" s="242">
        <v>14.4</v>
      </c>
      <c r="M290" s="243">
        <v>19.899999999999999</v>
      </c>
      <c r="N290" s="241">
        <v>17.100000000000001</v>
      </c>
      <c r="O290" s="242">
        <v>24.8</v>
      </c>
      <c r="P290" s="243">
        <v>34.9</v>
      </c>
      <c r="Z290" s="244">
        <f t="shared" si="13"/>
        <v>29.400000000000151</v>
      </c>
      <c r="AA290" s="376">
        <f t="shared" si="14"/>
        <v>1.962279336703663E-4</v>
      </c>
    </row>
    <row r="291" spans="1:27">
      <c r="A291" s="244">
        <f t="shared" si="12"/>
        <v>29.500000000000153</v>
      </c>
      <c r="B291" s="241">
        <v>6.5</v>
      </c>
      <c r="C291" s="242">
        <v>8.6</v>
      </c>
      <c r="D291" s="243">
        <v>11.4</v>
      </c>
      <c r="E291" s="241">
        <v>7.1</v>
      </c>
      <c r="F291" s="242">
        <v>9.5</v>
      </c>
      <c r="G291" s="243">
        <v>12.8</v>
      </c>
      <c r="H291" s="241">
        <v>8.1</v>
      </c>
      <c r="I291" s="242">
        <v>11</v>
      </c>
      <c r="J291" s="243">
        <v>15</v>
      </c>
      <c r="K291" s="241">
        <v>10.3</v>
      </c>
      <c r="L291" s="242">
        <v>14.4</v>
      </c>
      <c r="M291" s="243">
        <v>19.899999999999999</v>
      </c>
      <c r="N291" s="241">
        <v>17.100000000000001</v>
      </c>
      <c r="O291" s="242">
        <v>24.8</v>
      </c>
      <c r="P291" s="243">
        <v>34.799999999999997</v>
      </c>
      <c r="Z291" s="244">
        <f t="shared" si="13"/>
        <v>29.500000000000153</v>
      </c>
      <c r="AA291" s="376">
        <f t="shared" si="14"/>
        <v>1.944041113439481E-4</v>
      </c>
    </row>
    <row r="292" spans="1:27">
      <c r="A292" s="244">
        <f t="shared" si="12"/>
        <v>29.600000000000154</v>
      </c>
      <c r="B292" s="241">
        <v>6.6</v>
      </c>
      <c r="C292" s="242">
        <v>8.6</v>
      </c>
      <c r="D292" s="243">
        <v>11.4</v>
      </c>
      <c r="E292" s="241">
        <v>7.2</v>
      </c>
      <c r="F292" s="242">
        <v>9.5</v>
      </c>
      <c r="G292" s="243">
        <v>12.7</v>
      </c>
      <c r="H292" s="241">
        <v>8.1</v>
      </c>
      <c r="I292" s="242">
        <v>11</v>
      </c>
      <c r="J292" s="243">
        <v>14.9</v>
      </c>
      <c r="K292" s="241">
        <v>10.4</v>
      </c>
      <c r="L292" s="242">
        <v>14.4</v>
      </c>
      <c r="M292" s="243">
        <v>19.8</v>
      </c>
      <c r="N292" s="241">
        <v>17.2</v>
      </c>
      <c r="O292" s="242">
        <v>24.8</v>
      </c>
      <c r="P292" s="243">
        <v>34.799999999999997</v>
      </c>
      <c r="Z292" s="244">
        <f t="shared" si="13"/>
        <v>29.600000000000154</v>
      </c>
      <c r="AA292" s="376">
        <f t="shared" si="14"/>
        <v>1.9260332659101328E-4</v>
      </c>
    </row>
    <row r="293" spans="1:27">
      <c r="A293" s="244">
        <f t="shared" si="12"/>
        <v>29.700000000000156</v>
      </c>
      <c r="B293" s="241">
        <v>6.6</v>
      </c>
      <c r="C293" s="242">
        <v>8.6</v>
      </c>
      <c r="D293" s="243">
        <v>11.4</v>
      </c>
      <c r="E293" s="241">
        <v>7.2</v>
      </c>
      <c r="F293" s="242">
        <v>9.5</v>
      </c>
      <c r="G293" s="243">
        <v>12.7</v>
      </c>
      <c r="H293" s="241">
        <v>8.1999999999999993</v>
      </c>
      <c r="I293" s="242">
        <v>11</v>
      </c>
      <c r="J293" s="243">
        <v>14.9</v>
      </c>
      <c r="K293" s="241">
        <v>10.4</v>
      </c>
      <c r="L293" s="242">
        <v>14.4</v>
      </c>
      <c r="M293" s="243">
        <v>19.8</v>
      </c>
      <c r="N293" s="241">
        <v>17.3</v>
      </c>
      <c r="O293" s="242">
        <v>24.8</v>
      </c>
      <c r="P293" s="243">
        <v>34.700000000000003</v>
      </c>
      <c r="Z293" s="244">
        <f t="shared" si="13"/>
        <v>29.700000000000156</v>
      </c>
      <c r="AA293" s="376">
        <f t="shared" si="14"/>
        <v>1.9082521205132153E-4</v>
      </c>
    </row>
    <row r="294" spans="1:27">
      <c r="A294" s="244">
        <f t="shared" si="12"/>
        <v>29.800000000000157</v>
      </c>
      <c r="B294" s="241">
        <v>6.6</v>
      </c>
      <c r="C294" s="242">
        <v>8.6</v>
      </c>
      <c r="D294" s="243">
        <v>11.4</v>
      </c>
      <c r="E294" s="241">
        <v>7.2</v>
      </c>
      <c r="F294" s="242">
        <v>9.5</v>
      </c>
      <c r="G294" s="243">
        <v>12.7</v>
      </c>
      <c r="H294" s="241">
        <v>8.1999999999999993</v>
      </c>
      <c r="I294" s="242">
        <v>11.1</v>
      </c>
      <c r="J294" s="243">
        <v>14.9</v>
      </c>
      <c r="K294" s="241">
        <v>10.4</v>
      </c>
      <c r="L294" s="242">
        <v>14.4</v>
      </c>
      <c r="M294" s="243">
        <v>19.8</v>
      </c>
      <c r="N294" s="241">
        <v>17.399999999999999</v>
      </c>
      <c r="O294" s="242">
        <v>24.8</v>
      </c>
      <c r="P294" s="243">
        <v>34.700000000000003</v>
      </c>
      <c r="Z294" s="244">
        <f t="shared" si="13"/>
        <v>29.800000000000157</v>
      </c>
      <c r="AA294" s="376">
        <f t="shared" si="14"/>
        <v>1.8906940743212863E-4</v>
      </c>
    </row>
    <row r="295" spans="1:27">
      <c r="A295" s="244">
        <f t="shared" si="12"/>
        <v>29.900000000000158</v>
      </c>
      <c r="B295" s="241">
        <v>6.6</v>
      </c>
      <c r="C295" s="242">
        <v>8.6</v>
      </c>
      <c r="D295" s="243">
        <v>11.4</v>
      </c>
      <c r="E295" s="241">
        <v>7.2</v>
      </c>
      <c r="F295" s="242">
        <v>9.6</v>
      </c>
      <c r="G295" s="243">
        <v>12.7</v>
      </c>
      <c r="H295" s="241">
        <v>8.1999999999999993</v>
      </c>
      <c r="I295" s="242">
        <v>11.1</v>
      </c>
      <c r="J295" s="243">
        <v>14.9</v>
      </c>
      <c r="K295" s="241">
        <v>10.5</v>
      </c>
      <c r="L295" s="242">
        <v>14.4</v>
      </c>
      <c r="M295" s="243">
        <v>19.8</v>
      </c>
      <c r="N295" s="241">
        <v>17.399999999999999</v>
      </c>
      <c r="O295" s="242">
        <v>24.9</v>
      </c>
      <c r="P295" s="243">
        <v>34.6</v>
      </c>
      <c r="Z295" s="244">
        <f t="shared" si="13"/>
        <v>29.900000000000158</v>
      </c>
      <c r="AA295" s="376">
        <f t="shared" si="14"/>
        <v>1.8733555934910342E-4</v>
      </c>
    </row>
    <row r="296" spans="1:27">
      <c r="A296" s="244">
        <f t="shared" si="12"/>
        <v>30.00000000000016</v>
      </c>
      <c r="B296" s="241">
        <v>6.6</v>
      </c>
      <c r="C296" s="242">
        <v>8.6999999999999993</v>
      </c>
      <c r="D296" s="243">
        <v>11.4</v>
      </c>
      <c r="E296" s="241">
        <v>7.2</v>
      </c>
      <c r="F296" s="242">
        <v>9.6</v>
      </c>
      <c r="G296" s="243">
        <v>12.7</v>
      </c>
      <c r="H296" s="241">
        <v>8.3000000000000007</v>
      </c>
      <c r="I296" s="242">
        <v>11.1</v>
      </c>
      <c r="J296" s="243">
        <v>14.9</v>
      </c>
      <c r="K296" s="241">
        <v>10.5</v>
      </c>
      <c r="L296" s="242">
        <v>14.5</v>
      </c>
      <c r="M296" s="243">
        <v>19.8</v>
      </c>
      <c r="N296" s="241">
        <v>17.5</v>
      </c>
      <c r="O296" s="242">
        <v>24.9</v>
      </c>
      <c r="P296" s="243">
        <v>34.6</v>
      </c>
      <c r="Z296" s="244">
        <f t="shared" si="13"/>
        <v>30.00000000000016</v>
      </c>
      <c r="AA296" s="376">
        <f t="shared" si="14"/>
        <v>1.856233211713425E-4</v>
      </c>
    </row>
    <row r="297" spans="1:27">
      <c r="A297" s="244">
        <f t="shared" si="12"/>
        <v>30.100000000000161</v>
      </c>
      <c r="B297" s="241">
        <v>6.7</v>
      </c>
      <c r="C297" s="242">
        <v>8.6999999999999993</v>
      </c>
      <c r="D297" s="243">
        <v>11.4</v>
      </c>
      <c r="E297" s="241">
        <v>7.3</v>
      </c>
      <c r="F297" s="242">
        <v>9.6</v>
      </c>
      <c r="G297" s="243">
        <v>12.7</v>
      </c>
      <c r="H297" s="241">
        <v>8.3000000000000007</v>
      </c>
      <c r="I297" s="242">
        <v>11.1</v>
      </c>
      <c r="J297" s="243">
        <v>14.9</v>
      </c>
      <c r="K297" s="241">
        <v>10.6</v>
      </c>
      <c r="L297" s="242">
        <v>14.5</v>
      </c>
      <c r="M297" s="243">
        <v>19.8</v>
      </c>
      <c r="N297" s="241">
        <v>17.600000000000001</v>
      </c>
      <c r="O297" s="242">
        <v>24.9</v>
      </c>
      <c r="P297" s="243">
        <v>34.6</v>
      </c>
      <c r="Z297" s="244">
        <f t="shared" si="13"/>
        <v>30.100000000000161</v>
      </c>
      <c r="AA297" s="376">
        <f t="shared" si="14"/>
        <v>1.8393235287036413E-4</v>
      </c>
    </row>
    <row r="298" spans="1:27">
      <c r="A298" s="244">
        <f t="shared" si="12"/>
        <v>30.200000000000163</v>
      </c>
      <c r="B298" s="241">
        <v>6.7</v>
      </c>
      <c r="C298" s="242">
        <v>8.6999999999999993</v>
      </c>
      <c r="D298" s="243">
        <v>11.4</v>
      </c>
      <c r="E298" s="241">
        <v>7.3</v>
      </c>
      <c r="F298" s="242">
        <v>9.6</v>
      </c>
      <c r="G298" s="243">
        <v>12.7</v>
      </c>
      <c r="H298" s="241">
        <v>8.3000000000000007</v>
      </c>
      <c r="I298" s="242">
        <v>11.1</v>
      </c>
      <c r="J298" s="243">
        <v>14.9</v>
      </c>
      <c r="K298" s="241">
        <v>10.6</v>
      </c>
      <c r="L298" s="242">
        <v>14.5</v>
      </c>
      <c r="M298" s="243">
        <v>19.8</v>
      </c>
      <c r="N298" s="241">
        <v>17.7</v>
      </c>
      <c r="O298" s="242">
        <v>25</v>
      </c>
      <c r="P298" s="243">
        <v>34.6</v>
      </c>
      <c r="Z298" s="244">
        <f t="shared" si="13"/>
        <v>30.200000000000163</v>
      </c>
      <c r="AA298" s="376">
        <f t="shared" si="14"/>
        <v>1.8226232087296504E-4</v>
      </c>
    </row>
    <row r="299" spans="1:27">
      <c r="A299" s="244">
        <f t="shared" si="12"/>
        <v>30.300000000000164</v>
      </c>
      <c r="B299" s="241">
        <v>6.7</v>
      </c>
      <c r="C299" s="242">
        <v>8.6999999999999993</v>
      </c>
      <c r="D299" s="243">
        <v>11.4</v>
      </c>
      <c r="E299" s="241">
        <v>7.3</v>
      </c>
      <c r="F299" s="242">
        <v>9.6</v>
      </c>
      <c r="G299" s="243">
        <v>12.7</v>
      </c>
      <c r="H299" s="241">
        <v>8.4</v>
      </c>
      <c r="I299" s="242">
        <v>11.1</v>
      </c>
      <c r="J299" s="243">
        <v>14.9</v>
      </c>
      <c r="K299" s="241">
        <v>10.7</v>
      </c>
      <c r="L299" s="242">
        <v>14.5</v>
      </c>
      <c r="M299" s="243">
        <v>19.7</v>
      </c>
      <c r="N299" s="241">
        <v>17.8</v>
      </c>
      <c r="O299" s="242">
        <v>25</v>
      </c>
      <c r="P299" s="243">
        <v>34.6</v>
      </c>
      <c r="Z299" s="244">
        <f t="shared" si="13"/>
        <v>30.300000000000164</v>
      </c>
      <c r="AA299" s="376">
        <f t="shared" si="14"/>
        <v>1.8061289791783137E-4</v>
      </c>
    </row>
    <row r="300" spans="1:27">
      <c r="A300" s="244">
        <f t="shared" si="12"/>
        <v>30.400000000000166</v>
      </c>
      <c r="B300" s="241">
        <v>6.7</v>
      </c>
      <c r="C300" s="242">
        <v>8.6999999999999993</v>
      </c>
      <c r="D300" s="243">
        <v>11.4</v>
      </c>
      <c r="E300" s="241">
        <v>7.4</v>
      </c>
      <c r="F300" s="242">
        <v>9.6</v>
      </c>
      <c r="G300" s="243">
        <v>12.7</v>
      </c>
      <c r="H300" s="241">
        <v>8.4</v>
      </c>
      <c r="I300" s="242">
        <v>11.1</v>
      </c>
      <c r="J300" s="243">
        <v>14.9</v>
      </c>
      <c r="K300" s="241">
        <v>10.7</v>
      </c>
      <c r="L300" s="242">
        <v>14.6</v>
      </c>
      <c r="M300" s="243">
        <v>19.7</v>
      </c>
      <c r="N300" s="241">
        <v>17.8</v>
      </c>
      <c r="O300" s="242">
        <v>25</v>
      </c>
      <c r="P300" s="243">
        <v>34.6</v>
      </c>
      <c r="Z300" s="244">
        <f t="shared" si="13"/>
        <v>30.400000000000166</v>
      </c>
      <c r="AA300" s="376">
        <f t="shared" si="14"/>
        <v>1.78983762915793E-4</v>
      </c>
    </row>
    <row r="301" spans="1:27">
      <c r="A301" s="244">
        <f t="shared" si="12"/>
        <v>30.500000000000167</v>
      </c>
      <c r="B301" s="241">
        <v>6.8</v>
      </c>
      <c r="C301" s="242">
        <v>8.6999999999999993</v>
      </c>
      <c r="D301" s="243">
        <v>11.4</v>
      </c>
      <c r="E301" s="241">
        <v>7.4</v>
      </c>
      <c r="F301" s="242">
        <v>9.6</v>
      </c>
      <c r="G301" s="243">
        <v>12.7</v>
      </c>
      <c r="H301" s="241">
        <v>8.4</v>
      </c>
      <c r="I301" s="242">
        <v>11.2</v>
      </c>
      <c r="J301" s="243">
        <v>14.9</v>
      </c>
      <c r="K301" s="241">
        <v>10.7</v>
      </c>
      <c r="L301" s="242">
        <v>14.6</v>
      </c>
      <c r="M301" s="243">
        <v>19.8</v>
      </c>
      <c r="N301" s="241">
        <v>17.899999999999999</v>
      </c>
      <c r="O301" s="242">
        <v>25.1</v>
      </c>
      <c r="P301" s="243">
        <v>34.6</v>
      </c>
      <c r="Z301" s="244">
        <f t="shared" si="13"/>
        <v>30.500000000000167</v>
      </c>
      <c r="AA301" s="376">
        <f t="shared" si="14"/>
        <v>1.773746008136201E-4</v>
      </c>
    </row>
    <row r="302" spans="1:27">
      <c r="A302" s="244">
        <f t="shared" si="12"/>
        <v>30.600000000000168</v>
      </c>
      <c r="B302" s="241">
        <v>6.8</v>
      </c>
      <c r="C302" s="242">
        <v>8.6999999999999993</v>
      </c>
      <c r="D302" s="243">
        <v>11.4</v>
      </c>
      <c r="E302" s="241">
        <v>7.4</v>
      </c>
      <c r="F302" s="242">
        <v>9.6</v>
      </c>
      <c r="G302" s="243">
        <v>12.7</v>
      </c>
      <c r="H302" s="241">
        <v>8.5</v>
      </c>
      <c r="I302" s="242">
        <v>11.2</v>
      </c>
      <c r="J302" s="243">
        <v>14.9</v>
      </c>
      <c r="K302" s="241">
        <v>10.8</v>
      </c>
      <c r="L302" s="242">
        <v>14.6</v>
      </c>
      <c r="M302" s="243">
        <v>19.8</v>
      </c>
      <c r="N302" s="241">
        <v>18</v>
      </c>
      <c r="O302" s="242">
        <v>25.1</v>
      </c>
      <c r="P302" s="243">
        <v>34.6</v>
      </c>
      <c r="Z302" s="244">
        <f t="shared" si="13"/>
        <v>30.600000000000168</v>
      </c>
      <c r="AA302" s="376">
        <f t="shared" si="14"/>
        <v>1.7578510246125798E-4</v>
      </c>
    </row>
    <row r="303" spans="1:27">
      <c r="A303" s="244">
        <f t="shared" si="12"/>
        <v>30.70000000000017</v>
      </c>
      <c r="B303" s="241">
        <v>6.8</v>
      </c>
      <c r="C303" s="242">
        <v>8.6999999999999993</v>
      </c>
      <c r="D303" s="243">
        <v>11.4</v>
      </c>
      <c r="E303" s="241">
        <v>7.4</v>
      </c>
      <c r="F303" s="242">
        <v>9.6999999999999993</v>
      </c>
      <c r="G303" s="243">
        <v>12.7</v>
      </c>
      <c r="H303" s="241">
        <v>8.5</v>
      </c>
      <c r="I303" s="242">
        <v>11.2</v>
      </c>
      <c r="J303" s="243">
        <v>14.9</v>
      </c>
      <c r="K303" s="241">
        <v>10.8</v>
      </c>
      <c r="L303" s="242">
        <v>14.6</v>
      </c>
      <c r="M303" s="243">
        <v>19.8</v>
      </c>
      <c r="N303" s="241">
        <v>18.100000000000001</v>
      </c>
      <c r="O303" s="242">
        <v>25.2</v>
      </c>
      <c r="P303" s="243">
        <v>34.6</v>
      </c>
      <c r="Z303" s="244">
        <f t="shared" si="13"/>
        <v>30.70000000000017</v>
      </c>
      <c r="AA303" s="376">
        <f t="shared" si="14"/>
        <v>1.7421496448240492E-4</v>
      </c>
    </row>
    <row r="304" spans="1:27">
      <c r="A304" s="244">
        <f t="shared" si="12"/>
        <v>30.800000000000171</v>
      </c>
      <c r="B304" s="241">
        <v>6.8</v>
      </c>
      <c r="C304" s="242">
        <v>8.8000000000000007</v>
      </c>
      <c r="D304" s="243">
        <v>11.4</v>
      </c>
      <c r="E304" s="241">
        <v>7.5</v>
      </c>
      <c r="F304" s="242">
        <v>9.6999999999999993</v>
      </c>
      <c r="G304" s="243">
        <v>12.7</v>
      </c>
      <c r="H304" s="241">
        <v>8.5</v>
      </c>
      <c r="I304" s="242">
        <v>11.2</v>
      </c>
      <c r="J304" s="243">
        <v>14.9</v>
      </c>
      <c r="K304" s="241">
        <v>10.9</v>
      </c>
      <c r="L304" s="242">
        <v>14.7</v>
      </c>
      <c r="M304" s="243">
        <v>19.8</v>
      </c>
      <c r="N304" s="241">
        <v>18.2</v>
      </c>
      <c r="O304" s="242">
        <v>25.3</v>
      </c>
      <c r="P304" s="243">
        <v>34.6</v>
      </c>
      <c r="Z304" s="244">
        <f t="shared" si="13"/>
        <v>30.800000000000171</v>
      </c>
      <c r="AA304" s="376">
        <f t="shared" si="14"/>
        <v>1.7266388914833697E-4</v>
      </c>
    </row>
    <row r="305" spans="1:27">
      <c r="A305" s="244">
        <f t="shared" si="12"/>
        <v>30.900000000000173</v>
      </c>
      <c r="B305" s="241">
        <v>6.9</v>
      </c>
      <c r="C305" s="242">
        <v>8.8000000000000007</v>
      </c>
      <c r="D305" s="243">
        <v>11.4</v>
      </c>
      <c r="E305" s="241">
        <v>7.5</v>
      </c>
      <c r="F305" s="242">
        <v>9.6999999999999993</v>
      </c>
      <c r="G305" s="243">
        <v>12.7</v>
      </c>
      <c r="H305" s="241">
        <v>8.6</v>
      </c>
      <c r="I305" s="242">
        <v>11.2</v>
      </c>
      <c r="J305" s="243">
        <v>14.9</v>
      </c>
      <c r="K305" s="241">
        <v>10.9</v>
      </c>
      <c r="L305" s="242">
        <v>14.7</v>
      </c>
      <c r="M305" s="243">
        <v>19.8</v>
      </c>
      <c r="N305" s="241">
        <v>18.3</v>
      </c>
      <c r="O305" s="242">
        <v>25.3</v>
      </c>
      <c r="P305" s="243">
        <v>34.700000000000003</v>
      </c>
      <c r="Z305" s="244">
        <f t="shared" si="13"/>
        <v>30.900000000000173</v>
      </c>
      <c r="AA305" s="376">
        <f t="shared" si="14"/>
        <v>1.7113158425488835E-4</v>
      </c>
    </row>
    <row r="306" spans="1:27">
      <c r="A306" s="244">
        <f t="shared" si="12"/>
        <v>31.000000000000174</v>
      </c>
      <c r="B306" s="241">
        <v>6.9</v>
      </c>
      <c r="C306" s="242">
        <v>8.8000000000000007</v>
      </c>
      <c r="D306" s="243">
        <v>11.4</v>
      </c>
      <c r="E306" s="241">
        <v>7.5</v>
      </c>
      <c r="F306" s="242">
        <v>9.6999999999999993</v>
      </c>
      <c r="G306" s="243">
        <v>12.7</v>
      </c>
      <c r="H306" s="241">
        <v>8.6</v>
      </c>
      <c r="I306" s="242">
        <v>11.3</v>
      </c>
      <c r="J306" s="243">
        <v>14.9</v>
      </c>
      <c r="K306" s="241">
        <v>11</v>
      </c>
      <c r="L306" s="242">
        <v>14.7</v>
      </c>
      <c r="M306" s="243">
        <v>19.8</v>
      </c>
      <c r="N306" s="241">
        <v>18.399999999999999</v>
      </c>
      <c r="O306" s="242">
        <v>25.4</v>
      </c>
      <c r="P306" s="243">
        <v>34.700000000000003</v>
      </c>
      <c r="Z306" s="244">
        <f t="shared" si="13"/>
        <v>31.000000000000174</v>
      </c>
      <c r="AA306" s="376">
        <f t="shared" si="14"/>
        <v>1.6961776300249853E-4</v>
      </c>
    </row>
    <row r="307" spans="1:27">
      <c r="A307" s="244">
        <f t="shared" si="12"/>
        <v>31.100000000000176</v>
      </c>
      <c r="B307" s="241">
        <v>6.9</v>
      </c>
      <c r="C307" s="242">
        <v>8.8000000000000007</v>
      </c>
      <c r="D307" s="243">
        <v>11.4</v>
      </c>
      <c r="E307" s="241">
        <v>7.6</v>
      </c>
      <c r="F307" s="242">
        <v>9.6999999999999993</v>
      </c>
      <c r="G307" s="243">
        <v>12.7</v>
      </c>
      <c r="H307" s="241">
        <v>8.6</v>
      </c>
      <c r="I307" s="242">
        <v>11.3</v>
      </c>
      <c r="J307" s="243">
        <v>14.9</v>
      </c>
      <c r="K307" s="241">
        <v>11</v>
      </c>
      <c r="L307" s="242">
        <v>14.8</v>
      </c>
      <c r="M307" s="243">
        <v>19.8</v>
      </c>
      <c r="N307" s="241">
        <v>18.5</v>
      </c>
      <c r="O307" s="242">
        <v>25.4</v>
      </c>
      <c r="P307" s="243">
        <v>34.700000000000003</v>
      </c>
      <c r="Z307" s="244">
        <f t="shared" si="13"/>
        <v>31.100000000000176</v>
      </c>
      <c r="AA307" s="376">
        <f t="shared" si="14"/>
        <v>1.6812214387924016E-4</v>
      </c>
    </row>
    <row r="308" spans="1:27">
      <c r="A308" s="244">
        <f t="shared" si="12"/>
        <v>31.200000000000177</v>
      </c>
      <c r="B308" s="241">
        <v>6.9</v>
      </c>
      <c r="C308" s="242">
        <v>8.8000000000000007</v>
      </c>
      <c r="D308" s="243">
        <v>11.4</v>
      </c>
      <c r="E308" s="241">
        <v>7.6</v>
      </c>
      <c r="F308" s="242">
        <v>9.8000000000000007</v>
      </c>
      <c r="G308" s="243">
        <v>12.7</v>
      </c>
      <c r="H308" s="241">
        <v>8.6999999999999993</v>
      </c>
      <c r="I308" s="242">
        <v>11.3</v>
      </c>
      <c r="J308" s="243">
        <v>14.9</v>
      </c>
      <c r="K308" s="241">
        <v>11.1</v>
      </c>
      <c r="L308" s="242">
        <v>14.8</v>
      </c>
      <c r="M308" s="243">
        <v>19.899999999999999</v>
      </c>
      <c r="N308" s="241">
        <v>18.600000000000001</v>
      </c>
      <c r="O308" s="242">
        <v>25.5</v>
      </c>
      <c r="P308" s="243">
        <v>34.799999999999997</v>
      </c>
      <c r="Z308" s="244">
        <f t="shared" si="13"/>
        <v>31.200000000000177</v>
      </c>
      <c r="AA308" s="376">
        <f t="shared" si="14"/>
        <v>1.6664445054674469E-4</v>
      </c>
    </row>
    <row r="309" spans="1:27">
      <c r="A309" s="244">
        <f t="shared" si="12"/>
        <v>31.300000000000178</v>
      </c>
      <c r="B309" s="241">
        <v>7</v>
      </c>
      <c r="C309" s="242">
        <v>8.9</v>
      </c>
      <c r="D309" s="243">
        <v>11.4</v>
      </c>
      <c r="E309" s="241">
        <v>7.6</v>
      </c>
      <c r="F309" s="242">
        <v>9.8000000000000007</v>
      </c>
      <c r="G309" s="243">
        <v>12.8</v>
      </c>
      <c r="H309" s="241">
        <v>8.6999999999999993</v>
      </c>
      <c r="I309" s="242">
        <v>11.4</v>
      </c>
      <c r="J309" s="243">
        <v>15</v>
      </c>
      <c r="K309" s="241">
        <v>11.1</v>
      </c>
      <c r="L309" s="242">
        <v>14.9</v>
      </c>
      <c r="M309" s="243">
        <v>19.899999999999999</v>
      </c>
      <c r="N309" s="241">
        <v>18.7</v>
      </c>
      <c r="O309" s="242">
        <v>25.6</v>
      </c>
      <c r="P309" s="243">
        <v>34.799999999999997</v>
      </c>
      <c r="Z309" s="244">
        <f t="shared" si="13"/>
        <v>31.300000000000178</v>
      </c>
      <c r="AA309" s="376">
        <f t="shared" si="14"/>
        <v>1.6518441172894404E-4</v>
      </c>
    </row>
    <row r="310" spans="1:27">
      <c r="A310" s="244">
        <f t="shared" si="12"/>
        <v>31.40000000000018</v>
      </c>
      <c r="B310" s="241">
        <v>7</v>
      </c>
      <c r="C310" s="242">
        <v>8.9</v>
      </c>
      <c r="D310" s="243">
        <v>11.4</v>
      </c>
      <c r="E310" s="241">
        <v>7.6</v>
      </c>
      <c r="F310" s="242">
        <v>9.8000000000000007</v>
      </c>
      <c r="G310" s="243">
        <v>12.8</v>
      </c>
      <c r="H310" s="241">
        <v>8.6999999999999993</v>
      </c>
      <c r="I310" s="242">
        <v>11.4</v>
      </c>
      <c r="J310" s="243">
        <v>15</v>
      </c>
      <c r="K310" s="241">
        <v>11.2</v>
      </c>
      <c r="L310" s="242">
        <v>14.9</v>
      </c>
      <c r="M310" s="243">
        <v>19.899999999999999</v>
      </c>
      <c r="N310" s="241">
        <v>18.8</v>
      </c>
      <c r="O310" s="242">
        <v>25.7</v>
      </c>
      <c r="P310" s="243">
        <v>34.9</v>
      </c>
      <c r="Z310" s="244">
        <f t="shared" si="13"/>
        <v>31.40000000000018</v>
      </c>
      <c r="AA310" s="376">
        <f t="shared" si="14"/>
        <v>1.6374176110355108E-4</v>
      </c>
    </row>
    <row r="311" spans="1:27">
      <c r="A311" s="244">
        <f t="shared" si="12"/>
        <v>31.500000000000181</v>
      </c>
      <c r="B311" s="241">
        <v>7</v>
      </c>
      <c r="C311" s="242">
        <v>8.9</v>
      </c>
      <c r="D311" s="243">
        <v>11.5</v>
      </c>
      <c r="E311" s="241">
        <v>7.7</v>
      </c>
      <c r="F311" s="242">
        <v>9.8000000000000007</v>
      </c>
      <c r="G311" s="243">
        <v>12.8</v>
      </c>
      <c r="H311" s="241">
        <v>8.8000000000000007</v>
      </c>
      <c r="I311" s="242">
        <v>11.4</v>
      </c>
      <c r="J311" s="243">
        <v>15</v>
      </c>
      <c r="K311" s="241">
        <v>11.3</v>
      </c>
      <c r="L311" s="242">
        <v>14.9</v>
      </c>
      <c r="M311" s="243">
        <v>19.899999999999999</v>
      </c>
      <c r="N311" s="241">
        <v>18.899999999999999</v>
      </c>
      <c r="O311" s="242">
        <v>25.7</v>
      </c>
      <c r="P311" s="243">
        <v>34.9</v>
      </c>
      <c r="Z311" s="244">
        <f t="shared" si="13"/>
        <v>31.500000000000181</v>
      </c>
      <c r="AA311" s="376">
        <f t="shared" si="14"/>
        <v>1.6231623719620245E-4</v>
      </c>
    </row>
    <row r="312" spans="1:27">
      <c r="A312" s="244">
        <f t="shared" si="12"/>
        <v>31.600000000000183</v>
      </c>
      <c r="B312" s="241">
        <v>7</v>
      </c>
      <c r="C312" s="242">
        <v>8.9</v>
      </c>
      <c r="D312" s="243">
        <v>11.5</v>
      </c>
      <c r="E312" s="241">
        <v>7.7</v>
      </c>
      <c r="F312" s="242">
        <v>9.9</v>
      </c>
      <c r="G312" s="243">
        <v>12.8</v>
      </c>
      <c r="H312" s="241">
        <v>8.8000000000000007</v>
      </c>
      <c r="I312" s="242">
        <v>11.4</v>
      </c>
      <c r="J312" s="243">
        <v>15</v>
      </c>
      <c r="K312" s="241">
        <v>11.3</v>
      </c>
      <c r="L312" s="242">
        <v>15</v>
      </c>
      <c r="M312" s="243">
        <v>20</v>
      </c>
      <c r="N312" s="241">
        <v>19</v>
      </c>
      <c r="O312" s="242">
        <v>25.8</v>
      </c>
      <c r="P312" s="243">
        <v>35</v>
      </c>
      <c r="Z312" s="244">
        <f t="shared" si="13"/>
        <v>31.600000000000183</v>
      </c>
      <c r="AA312" s="376">
        <f t="shared" si="14"/>
        <v>1.609075832771902E-4</v>
      </c>
    </row>
    <row r="313" spans="1:27">
      <c r="A313" s="244">
        <f t="shared" si="12"/>
        <v>31.700000000000184</v>
      </c>
      <c r="B313" s="241">
        <v>7.1</v>
      </c>
      <c r="C313" s="242">
        <v>8.9</v>
      </c>
      <c r="D313" s="243">
        <v>11.5</v>
      </c>
      <c r="E313" s="241">
        <v>7.7</v>
      </c>
      <c r="F313" s="242">
        <v>9.9</v>
      </c>
      <c r="G313" s="243">
        <v>12.8</v>
      </c>
      <c r="H313" s="241">
        <v>8.9</v>
      </c>
      <c r="I313" s="242">
        <v>11.5</v>
      </c>
      <c r="J313" s="243">
        <v>15.1</v>
      </c>
      <c r="K313" s="241">
        <v>11.4</v>
      </c>
      <c r="L313" s="242">
        <v>15</v>
      </c>
      <c r="M313" s="243">
        <v>20</v>
      </c>
      <c r="N313" s="241">
        <v>19.100000000000001</v>
      </c>
      <c r="O313" s="242">
        <v>25.9</v>
      </c>
      <c r="P313" s="243">
        <v>35</v>
      </c>
      <c r="Z313" s="244">
        <f t="shared" si="13"/>
        <v>31.700000000000184</v>
      </c>
      <c r="AA313" s="376">
        <f t="shared" si="14"/>
        <v>1.595155472607114E-4</v>
      </c>
    </row>
    <row r="314" spans="1:27">
      <c r="A314" s="244">
        <f t="shared" si="12"/>
        <v>31.800000000000185</v>
      </c>
      <c r="B314" s="241">
        <v>7.1</v>
      </c>
      <c r="C314" s="242">
        <v>9</v>
      </c>
      <c r="D314" s="243">
        <v>11.5</v>
      </c>
      <c r="E314" s="241">
        <v>7.8</v>
      </c>
      <c r="F314" s="242">
        <v>9.9</v>
      </c>
      <c r="G314" s="243">
        <v>12.9</v>
      </c>
      <c r="H314" s="241">
        <v>8.9</v>
      </c>
      <c r="I314" s="242">
        <v>11.5</v>
      </c>
      <c r="J314" s="243">
        <v>15.1</v>
      </c>
      <c r="K314" s="241">
        <v>11.4</v>
      </c>
      <c r="L314" s="242">
        <v>15.1</v>
      </c>
      <c r="M314" s="243">
        <v>20</v>
      </c>
      <c r="N314" s="241">
        <v>19.2</v>
      </c>
      <c r="O314" s="242">
        <v>26</v>
      </c>
      <c r="P314" s="243">
        <v>35.1</v>
      </c>
      <c r="Z314" s="244">
        <f t="shared" si="13"/>
        <v>31.800000000000185</v>
      </c>
      <c r="AA314" s="376">
        <f t="shared" si="14"/>
        <v>1.5813988160656633E-4</v>
      </c>
    </row>
    <row r="315" spans="1:27">
      <c r="A315" s="244">
        <f t="shared" si="12"/>
        <v>31.900000000000187</v>
      </c>
      <c r="B315" s="241">
        <v>7.1</v>
      </c>
      <c r="C315" s="242">
        <v>9</v>
      </c>
      <c r="D315" s="243">
        <v>11.5</v>
      </c>
      <c r="E315" s="241">
        <v>7.8</v>
      </c>
      <c r="F315" s="242">
        <v>9.9</v>
      </c>
      <c r="G315" s="243">
        <v>12.9</v>
      </c>
      <c r="H315" s="241">
        <v>8.9</v>
      </c>
      <c r="I315" s="242">
        <v>11.5</v>
      </c>
      <c r="J315" s="243">
        <v>15.1</v>
      </c>
      <c r="K315" s="241">
        <v>11.5</v>
      </c>
      <c r="L315" s="242">
        <v>15.1</v>
      </c>
      <c r="M315" s="243">
        <v>20.100000000000001</v>
      </c>
      <c r="N315" s="241">
        <v>19.3</v>
      </c>
      <c r="O315" s="242">
        <v>26.1</v>
      </c>
      <c r="P315" s="243">
        <v>35.200000000000003</v>
      </c>
      <c r="Z315" s="244">
        <f t="shared" si="13"/>
        <v>31.900000000000187</v>
      </c>
      <c r="AA315" s="376">
        <f t="shared" si="14"/>
        <v>1.5678034322423823E-4</v>
      </c>
    </row>
    <row r="316" spans="1:27">
      <c r="A316" s="244">
        <f t="shared" si="12"/>
        <v>32.000000000000185</v>
      </c>
      <c r="B316" s="241">
        <v>7.2</v>
      </c>
      <c r="C316" s="242">
        <v>9</v>
      </c>
      <c r="D316" s="243">
        <v>11.6</v>
      </c>
      <c r="E316" s="241">
        <v>7.8</v>
      </c>
      <c r="F316" s="242">
        <v>10</v>
      </c>
      <c r="G316" s="243">
        <v>12.9</v>
      </c>
      <c r="H316" s="241">
        <v>9</v>
      </c>
      <c r="I316" s="242">
        <v>11.6</v>
      </c>
      <c r="J316" s="243">
        <v>15.1</v>
      </c>
      <c r="K316" s="241">
        <v>11.5</v>
      </c>
      <c r="L316" s="242">
        <v>15.2</v>
      </c>
      <c r="M316" s="243">
        <v>20.100000000000001</v>
      </c>
      <c r="N316" s="241">
        <v>19.399999999999999</v>
      </c>
      <c r="O316" s="242">
        <v>26.2</v>
      </c>
      <c r="P316" s="243">
        <v>35.200000000000003</v>
      </c>
      <c r="Z316" s="244">
        <f t="shared" si="13"/>
        <v>32.000000000000185</v>
      </c>
      <c r="AA316" s="376">
        <f t="shared" si="14"/>
        <v>1.5543669337928973E-4</v>
      </c>
    </row>
    <row r="317" spans="1:27">
      <c r="A317" s="244">
        <f t="shared" si="12"/>
        <v>32.100000000000186</v>
      </c>
      <c r="B317" s="241">
        <v>7.2</v>
      </c>
      <c r="C317" s="242">
        <v>9</v>
      </c>
      <c r="D317" s="243">
        <v>11.6</v>
      </c>
      <c r="E317" s="241">
        <v>7.9</v>
      </c>
      <c r="F317" s="242">
        <v>10</v>
      </c>
      <c r="G317" s="243">
        <v>12.9</v>
      </c>
      <c r="H317" s="241">
        <v>9</v>
      </c>
      <c r="I317" s="242">
        <v>11.6</v>
      </c>
      <c r="J317" s="243">
        <v>15.2</v>
      </c>
      <c r="K317" s="241">
        <v>11.6</v>
      </c>
      <c r="L317" s="242">
        <v>15.2</v>
      </c>
      <c r="M317" s="243">
        <v>20.2</v>
      </c>
      <c r="N317" s="241">
        <v>19.5</v>
      </c>
      <c r="O317" s="242">
        <v>26.3</v>
      </c>
      <c r="P317" s="243">
        <v>35.299999999999997</v>
      </c>
      <c r="Z317" s="244">
        <f t="shared" si="13"/>
        <v>32.100000000000186</v>
      </c>
      <c r="AA317" s="376">
        <f t="shared" si="14"/>
        <v>1.5410869760201304E-4</v>
      </c>
    </row>
    <row r="318" spans="1:27">
      <c r="A318" s="244">
        <f t="shared" si="12"/>
        <v>32.200000000000188</v>
      </c>
      <c r="B318" s="241">
        <v>7.2</v>
      </c>
      <c r="C318" s="242">
        <v>9.1</v>
      </c>
      <c r="D318" s="243">
        <v>11.6</v>
      </c>
      <c r="E318" s="241">
        <v>7.9</v>
      </c>
      <c r="F318" s="242">
        <v>10</v>
      </c>
      <c r="G318" s="243">
        <v>13</v>
      </c>
      <c r="H318" s="241">
        <v>9.1</v>
      </c>
      <c r="I318" s="242">
        <v>11.7</v>
      </c>
      <c r="J318" s="243">
        <v>15.2</v>
      </c>
      <c r="K318" s="241">
        <v>11.7</v>
      </c>
      <c r="L318" s="242">
        <v>15.3</v>
      </c>
      <c r="M318" s="243">
        <v>20.2</v>
      </c>
      <c r="N318" s="241">
        <v>19.600000000000001</v>
      </c>
      <c r="O318" s="242">
        <v>26.4</v>
      </c>
      <c r="P318" s="243">
        <v>35.4</v>
      </c>
      <c r="Z318" s="244">
        <f t="shared" si="13"/>
        <v>32.200000000000188</v>
      </c>
      <c r="AA318" s="376">
        <f t="shared" si="14"/>
        <v>1.5279612559827307E-4</v>
      </c>
    </row>
    <row r="319" spans="1:27">
      <c r="A319" s="244">
        <f t="shared" si="12"/>
        <v>32.300000000000189</v>
      </c>
      <c r="B319" s="241">
        <v>7.3</v>
      </c>
      <c r="C319" s="242">
        <v>9.1</v>
      </c>
      <c r="D319" s="243">
        <v>11.6</v>
      </c>
      <c r="E319" s="241">
        <v>8</v>
      </c>
      <c r="F319" s="242">
        <v>10.1</v>
      </c>
      <c r="G319" s="243">
        <v>13</v>
      </c>
      <c r="H319" s="241">
        <v>9.1</v>
      </c>
      <c r="I319" s="242">
        <v>11.7</v>
      </c>
      <c r="J319" s="243">
        <v>15.2</v>
      </c>
      <c r="K319" s="241">
        <v>11.7</v>
      </c>
      <c r="L319" s="242">
        <v>15.3</v>
      </c>
      <c r="M319" s="243">
        <v>20.2</v>
      </c>
      <c r="N319" s="241">
        <v>19.7</v>
      </c>
      <c r="O319" s="242">
        <v>26.5</v>
      </c>
      <c r="P319" s="243">
        <v>35.5</v>
      </c>
      <c r="Z319" s="244">
        <f t="shared" si="13"/>
        <v>32.300000000000189</v>
      </c>
      <c r="AA319" s="376">
        <f t="shared" si="14"/>
        <v>1.5149875116248328E-4</v>
      </c>
    </row>
    <row r="320" spans="1:27">
      <c r="A320" s="244">
        <f t="shared" si="12"/>
        <v>32.40000000000019</v>
      </c>
      <c r="B320" s="241">
        <v>7.3</v>
      </c>
      <c r="C320" s="242">
        <v>9.1</v>
      </c>
      <c r="D320" s="243">
        <v>11.7</v>
      </c>
      <c r="E320" s="241">
        <v>8</v>
      </c>
      <c r="F320" s="242">
        <v>10.1</v>
      </c>
      <c r="G320" s="243">
        <v>13</v>
      </c>
      <c r="H320" s="241">
        <v>9.1999999999999993</v>
      </c>
      <c r="I320" s="242">
        <v>11.7</v>
      </c>
      <c r="J320" s="243">
        <v>15.3</v>
      </c>
      <c r="K320" s="241">
        <v>11.8</v>
      </c>
      <c r="L320" s="242">
        <v>15.4</v>
      </c>
      <c r="M320" s="243">
        <v>20.3</v>
      </c>
      <c r="N320" s="241">
        <v>19.899999999999999</v>
      </c>
      <c r="O320" s="242">
        <v>26.6</v>
      </c>
      <c r="P320" s="243">
        <v>35.6</v>
      </c>
      <c r="Z320" s="244">
        <f t="shared" si="13"/>
        <v>32.40000000000019</v>
      </c>
      <c r="AA320" s="376">
        <f t="shared" si="14"/>
        <v>1.5021635209265839E-4</v>
      </c>
    </row>
    <row r="321" spans="1:27">
      <c r="A321" s="244">
        <f t="shared" si="12"/>
        <v>32.500000000000192</v>
      </c>
      <c r="B321" s="241">
        <v>7.3</v>
      </c>
      <c r="C321" s="242">
        <v>9.1999999999999993</v>
      </c>
      <c r="D321" s="243">
        <v>11.7</v>
      </c>
      <c r="E321" s="241">
        <v>8</v>
      </c>
      <c r="F321" s="242">
        <v>10.1</v>
      </c>
      <c r="G321" s="243">
        <v>13</v>
      </c>
      <c r="H321" s="241">
        <v>9.1999999999999993</v>
      </c>
      <c r="I321" s="242">
        <v>11.8</v>
      </c>
      <c r="J321" s="243">
        <v>15.3</v>
      </c>
      <c r="K321" s="241">
        <v>11.8</v>
      </c>
      <c r="L321" s="242">
        <v>15.4</v>
      </c>
      <c r="M321" s="243">
        <v>20.3</v>
      </c>
      <c r="N321" s="241">
        <v>20</v>
      </c>
      <c r="O321" s="242">
        <v>26.7</v>
      </c>
      <c r="P321" s="243">
        <v>35.700000000000003</v>
      </c>
      <c r="Z321" s="244">
        <f t="shared" si="13"/>
        <v>32.500000000000192</v>
      </c>
      <c r="AA321" s="376">
        <f t="shared" si="14"/>
        <v>1.4894871010748633E-4</v>
      </c>
    </row>
    <row r="322" spans="1:27">
      <c r="A322" s="244">
        <f t="shared" si="12"/>
        <v>32.600000000000193</v>
      </c>
      <c r="B322" s="241">
        <v>7.4</v>
      </c>
      <c r="C322" s="242">
        <v>9.1999999999999993</v>
      </c>
      <c r="D322" s="243">
        <v>11.7</v>
      </c>
      <c r="E322" s="241">
        <v>8.1</v>
      </c>
      <c r="F322" s="242">
        <v>10.199999999999999</v>
      </c>
      <c r="G322" s="243">
        <v>13.1</v>
      </c>
      <c r="H322" s="241">
        <v>9.3000000000000007</v>
      </c>
      <c r="I322" s="242">
        <v>11.8</v>
      </c>
      <c r="J322" s="243">
        <v>15.3</v>
      </c>
      <c r="K322" s="241">
        <v>11.9</v>
      </c>
      <c r="L322" s="242">
        <v>15.5</v>
      </c>
      <c r="M322" s="243">
        <v>20.399999999999999</v>
      </c>
      <c r="N322" s="241">
        <v>20.100000000000001</v>
      </c>
      <c r="O322" s="242">
        <v>26.8</v>
      </c>
      <c r="P322" s="243">
        <v>35.799999999999997</v>
      </c>
      <c r="Z322" s="244">
        <f t="shared" si="13"/>
        <v>32.600000000000193</v>
      </c>
      <c r="AA322" s="376">
        <f t="shared" si="14"/>
        <v>1.4769561076536739E-4</v>
      </c>
    </row>
    <row r="323" spans="1:27">
      <c r="A323" s="244">
        <f t="shared" si="12"/>
        <v>32.700000000000195</v>
      </c>
      <c r="B323" s="241">
        <v>7.4</v>
      </c>
      <c r="C323" s="242">
        <v>9.1999999999999993</v>
      </c>
      <c r="D323" s="243">
        <v>11.7</v>
      </c>
      <c r="E323" s="241">
        <v>8.1</v>
      </c>
      <c r="F323" s="242">
        <v>10.199999999999999</v>
      </c>
      <c r="G323" s="243">
        <v>13.1</v>
      </c>
      <c r="H323" s="241">
        <v>9.3000000000000007</v>
      </c>
      <c r="I323" s="242">
        <v>11.9</v>
      </c>
      <c r="J323" s="243">
        <v>15.4</v>
      </c>
      <c r="K323" s="241">
        <v>12</v>
      </c>
      <c r="L323" s="242">
        <v>15.5</v>
      </c>
      <c r="M323" s="243">
        <v>20.5</v>
      </c>
      <c r="N323" s="241">
        <v>20.2</v>
      </c>
      <c r="O323" s="242">
        <v>26.9</v>
      </c>
      <c r="P323" s="243">
        <v>35.799999999999997</v>
      </c>
      <c r="Z323" s="244">
        <f t="shared" si="13"/>
        <v>32.700000000000195</v>
      </c>
      <c r="AA323" s="376">
        <f t="shared" si="14"/>
        <v>1.4645684338536591E-4</v>
      </c>
    </row>
    <row r="324" spans="1:27">
      <c r="A324" s="244">
        <f t="shared" si="12"/>
        <v>32.800000000000196</v>
      </c>
      <c r="B324" s="241">
        <v>7.4</v>
      </c>
      <c r="C324" s="242">
        <v>9.1999999999999993</v>
      </c>
      <c r="D324" s="243">
        <v>11.8</v>
      </c>
      <c r="E324" s="241">
        <v>8.1</v>
      </c>
      <c r="F324" s="242">
        <v>10.199999999999999</v>
      </c>
      <c r="G324" s="243">
        <v>13.1</v>
      </c>
      <c r="H324" s="241">
        <v>9.3000000000000007</v>
      </c>
      <c r="I324" s="242">
        <v>11.9</v>
      </c>
      <c r="J324" s="243">
        <v>15.4</v>
      </c>
      <c r="K324" s="241">
        <v>12</v>
      </c>
      <c r="L324" s="242">
        <v>15.6</v>
      </c>
      <c r="M324" s="243">
        <v>20.5</v>
      </c>
      <c r="N324" s="241">
        <v>20.3</v>
      </c>
      <c r="O324" s="242">
        <v>27</v>
      </c>
      <c r="P324" s="243">
        <v>36</v>
      </c>
      <c r="Z324" s="244">
        <f t="shared" si="13"/>
        <v>32.800000000000196</v>
      </c>
      <c r="AA324" s="376">
        <f t="shared" si="14"/>
        <v>1.4523220097002566E-4</v>
      </c>
    </row>
    <row r="325" spans="1:27">
      <c r="A325" s="244">
        <f t="shared" si="12"/>
        <v>32.900000000000198</v>
      </c>
      <c r="B325" s="241">
        <v>7.5</v>
      </c>
      <c r="C325" s="242">
        <v>9.3000000000000007</v>
      </c>
      <c r="D325" s="243">
        <v>11.8</v>
      </c>
      <c r="E325" s="241">
        <v>8.1999999999999993</v>
      </c>
      <c r="F325" s="242">
        <v>10.3</v>
      </c>
      <c r="G325" s="243">
        <v>13.2</v>
      </c>
      <c r="H325" s="241">
        <v>9.4</v>
      </c>
      <c r="I325" s="242">
        <v>11.9</v>
      </c>
      <c r="J325" s="243">
        <v>15.5</v>
      </c>
      <c r="K325" s="241">
        <v>12.1</v>
      </c>
      <c r="L325" s="242">
        <v>15.7</v>
      </c>
      <c r="M325" s="243">
        <v>20.6</v>
      </c>
      <c r="N325" s="241">
        <v>20.5</v>
      </c>
      <c r="O325" s="242">
        <v>27.1</v>
      </c>
      <c r="P325" s="243">
        <v>36.1</v>
      </c>
      <c r="Z325" s="244">
        <f t="shared" si="13"/>
        <v>32.900000000000198</v>
      </c>
      <c r="AA325" s="376">
        <f t="shared" si="14"/>
        <v>1.4402148012999802E-4</v>
      </c>
    </row>
    <row r="326" spans="1:27">
      <c r="A326" s="244">
        <f t="shared" si="12"/>
        <v>33.000000000000199</v>
      </c>
      <c r="B326" s="241">
        <v>7.5</v>
      </c>
      <c r="C326" s="242">
        <v>9.3000000000000007</v>
      </c>
      <c r="D326" s="243">
        <v>11.8</v>
      </c>
      <c r="E326" s="241">
        <v>8.1999999999999993</v>
      </c>
      <c r="F326" s="242">
        <v>10.3</v>
      </c>
      <c r="G326" s="243">
        <v>13.2</v>
      </c>
      <c r="H326" s="241">
        <v>9.4</v>
      </c>
      <c r="I326" s="242">
        <v>12</v>
      </c>
      <c r="J326" s="243">
        <v>15.5</v>
      </c>
      <c r="K326" s="241">
        <v>12.2</v>
      </c>
      <c r="L326" s="242">
        <v>15.7</v>
      </c>
      <c r="M326" s="243">
        <v>20.6</v>
      </c>
      <c r="N326" s="241">
        <v>20.6</v>
      </c>
      <c r="O326" s="242">
        <v>27.2</v>
      </c>
      <c r="P326" s="243">
        <v>36.200000000000003</v>
      </c>
      <c r="Z326" s="244">
        <f t="shared" si="13"/>
        <v>33.000000000000199</v>
      </c>
      <c r="AA326" s="376">
        <f t="shared" si="14"/>
        <v>1.4282448101043577E-4</v>
      </c>
    </row>
    <row r="327" spans="1:27">
      <c r="A327" s="244">
        <f t="shared" ref="A327:A390" si="15">A326+0.1</f>
        <v>33.1000000000002</v>
      </c>
      <c r="B327" s="241">
        <v>7.5</v>
      </c>
      <c r="C327" s="242">
        <v>9.3000000000000007</v>
      </c>
      <c r="D327" s="243">
        <v>11.9</v>
      </c>
      <c r="E327" s="241">
        <v>8.3000000000000007</v>
      </c>
      <c r="F327" s="242">
        <v>10.3</v>
      </c>
      <c r="G327" s="243">
        <v>13.2</v>
      </c>
      <c r="H327" s="241">
        <v>9.5</v>
      </c>
      <c r="I327" s="242">
        <v>12</v>
      </c>
      <c r="J327" s="243">
        <v>15.6</v>
      </c>
      <c r="K327" s="241">
        <v>12.2</v>
      </c>
      <c r="L327" s="242">
        <v>15.8</v>
      </c>
      <c r="M327" s="243">
        <v>20.7</v>
      </c>
      <c r="N327" s="241">
        <v>20.7</v>
      </c>
      <c r="O327" s="242">
        <v>27.3</v>
      </c>
      <c r="P327" s="243">
        <v>36.299999999999997</v>
      </c>
      <c r="Z327" s="244">
        <f t="shared" ref="Z327:Z390" si="16">Z326+0.1</f>
        <v>33.1000000000002</v>
      </c>
      <c r="AA327" s="376">
        <f t="shared" ref="AA327:AA390" si="17">T_gal(Z327)</f>
        <v>1.4164100721910568E-4</v>
      </c>
    </row>
    <row r="328" spans="1:27">
      <c r="A328" s="244">
        <f t="shared" si="15"/>
        <v>33.200000000000202</v>
      </c>
      <c r="B328" s="241">
        <v>7.6</v>
      </c>
      <c r="C328" s="242">
        <v>9.4</v>
      </c>
      <c r="D328" s="243">
        <v>11.9</v>
      </c>
      <c r="E328" s="241">
        <v>8.3000000000000007</v>
      </c>
      <c r="F328" s="242">
        <v>10.4</v>
      </c>
      <c r="G328" s="243">
        <v>13.3</v>
      </c>
      <c r="H328" s="241">
        <v>9.5</v>
      </c>
      <c r="I328" s="242">
        <v>12.1</v>
      </c>
      <c r="J328" s="243">
        <v>15.6</v>
      </c>
      <c r="K328" s="241">
        <v>12.3</v>
      </c>
      <c r="L328" s="242">
        <v>15.9</v>
      </c>
      <c r="M328" s="243">
        <v>20.8</v>
      </c>
      <c r="N328" s="241">
        <v>20.8</v>
      </c>
      <c r="O328" s="242">
        <v>27.4</v>
      </c>
      <c r="P328" s="243">
        <v>36.4</v>
      </c>
      <c r="Z328" s="244">
        <f t="shared" si="16"/>
        <v>33.200000000000202</v>
      </c>
      <c r="AA328" s="376">
        <f t="shared" si="17"/>
        <v>1.4047086575617467E-4</v>
      </c>
    </row>
    <row r="329" spans="1:27">
      <c r="A329" s="244">
        <f t="shared" si="15"/>
        <v>33.300000000000203</v>
      </c>
      <c r="B329" s="241">
        <v>7.6</v>
      </c>
      <c r="C329" s="242">
        <v>9.4</v>
      </c>
      <c r="D329" s="243">
        <v>11.9</v>
      </c>
      <c r="E329" s="241">
        <v>8.3000000000000007</v>
      </c>
      <c r="F329" s="242">
        <v>10.4</v>
      </c>
      <c r="G329" s="243">
        <v>13.3</v>
      </c>
      <c r="H329" s="241">
        <v>9.6</v>
      </c>
      <c r="I329" s="242">
        <v>12.1</v>
      </c>
      <c r="J329" s="243">
        <v>15.6</v>
      </c>
      <c r="K329" s="241">
        <v>12.4</v>
      </c>
      <c r="L329" s="242">
        <v>15.9</v>
      </c>
      <c r="M329" s="243">
        <v>20.8</v>
      </c>
      <c r="N329" s="241">
        <v>21</v>
      </c>
      <c r="O329" s="242">
        <v>27.6</v>
      </c>
      <c r="P329" s="243">
        <v>36.5</v>
      </c>
      <c r="Z329" s="244">
        <f t="shared" si="16"/>
        <v>33.300000000000203</v>
      </c>
      <c r="AA329" s="376">
        <f t="shared" si="17"/>
        <v>1.3931386694562603E-4</v>
      </c>
    </row>
    <row r="330" spans="1:27">
      <c r="A330" s="244">
        <f t="shared" si="15"/>
        <v>33.400000000000205</v>
      </c>
      <c r="B330" s="241">
        <v>7.6</v>
      </c>
      <c r="C330" s="242">
        <v>9.4</v>
      </c>
      <c r="D330" s="243">
        <v>12</v>
      </c>
      <c r="E330" s="241">
        <v>8.4</v>
      </c>
      <c r="F330" s="242">
        <v>10.5</v>
      </c>
      <c r="G330" s="243">
        <v>13.4</v>
      </c>
      <c r="H330" s="241">
        <v>9.6</v>
      </c>
      <c r="I330" s="242">
        <v>12.2</v>
      </c>
      <c r="J330" s="243">
        <v>15.7</v>
      </c>
      <c r="K330" s="241">
        <v>12.4</v>
      </c>
      <c r="L330" s="242">
        <v>16</v>
      </c>
      <c r="M330" s="243">
        <v>20.9</v>
      </c>
      <c r="N330" s="241">
        <v>21.1</v>
      </c>
      <c r="O330" s="242">
        <v>27.7</v>
      </c>
      <c r="P330" s="243">
        <v>36.6</v>
      </c>
      <c r="Z330" s="244">
        <f t="shared" si="16"/>
        <v>33.400000000000205</v>
      </c>
      <c r="AA330" s="376">
        <f t="shared" si="17"/>
        <v>1.3816982436826245E-4</v>
      </c>
    </row>
    <row r="331" spans="1:27">
      <c r="A331" s="244">
        <f t="shared" si="15"/>
        <v>33.500000000000206</v>
      </c>
      <c r="B331" s="241">
        <v>7.7</v>
      </c>
      <c r="C331" s="242">
        <v>9.5</v>
      </c>
      <c r="D331" s="243">
        <v>12</v>
      </c>
      <c r="E331" s="241">
        <v>8.4</v>
      </c>
      <c r="F331" s="242">
        <v>10.5</v>
      </c>
      <c r="G331" s="243">
        <v>13.4</v>
      </c>
      <c r="H331" s="241">
        <v>9.6999999999999993</v>
      </c>
      <c r="I331" s="242">
        <v>12.2</v>
      </c>
      <c r="J331" s="243">
        <v>15.7</v>
      </c>
      <c r="K331" s="241">
        <v>12.5</v>
      </c>
      <c r="L331" s="242">
        <v>16.100000000000001</v>
      </c>
      <c r="M331" s="243">
        <v>21</v>
      </c>
      <c r="N331" s="241">
        <v>21.2</v>
      </c>
      <c r="O331" s="242">
        <v>27.8</v>
      </c>
      <c r="P331" s="243">
        <v>36.799999999999997</v>
      </c>
      <c r="Z331" s="244">
        <f t="shared" si="16"/>
        <v>33.500000000000206</v>
      </c>
      <c r="AA331" s="376">
        <f t="shared" si="17"/>
        <v>1.3703855479625538E-4</v>
      </c>
    </row>
    <row r="332" spans="1:27">
      <c r="A332" s="244">
        <f t="shared" si="15"/>
        <v>33.600000000000207</v>
      </c>
      <c r="B332" s="241">
        <v>7.7</v>
      </c>
      <c r="C332" s="242">
        <v>9.5</v>
      </c>
      <c r="D332" s="243">
        <v>12</v>
      </c>
      <c r="E332" s="241">
        <v>8.5</v>
      </c>
      <c r="F332" s="242">
        <v>10.5</v>
      </c>
      <c r="G332" s="243">
        <v>13.4</v>
      </c>
      <c r="H332" s="241">
        <v>9.6999999999999993</v>
      </c>
      <c r="I332" s="242">
        <v>12.3</v>
      </c>
      <c r="J332" s="243">
        <v>15.8</v>
      </c>
      <c r="K332" s="241">
        <v>12.6</v>
      </c>
      <c r="L332" s="242">
        <v>16.100000000000001</v>
      </c>
      <c r="M332" s="243">
        <v>21</v>
      </c>
      <c r="N332" s="241">
        <v>21.4</v>
      </c>
      <c r="O332" s="242">
        <v>27.9</v>
      </c>
      <c r="P332" s="243">
        <v>36.9</v>
      </c>
      <c r="Z332" s="244">
        <f t="shared" si="16"/>
        <v>33.600000000000207</v>
      </c>
      <c r="AA332" s="376">
        <f t="shared" si="17"/>
        <v>1.3591987812919975E-4</v>
      </c>
    </row>
    <row r="333" spans="1:27">
      <c r="A333" s="244">
        <f t="shared" si="15"/>
        <v>33.700000000000209</v>
      </c>
      <c r="B333" s="241">
        <v>7.7</v>
      </c>
      <c r="C333" s="242">
        <v>9.5</v>
      </c>
      <c r="D333" s="243">
        <v>12.1</v>
      </c>
      <c r="E333" s="241">
        <v>8.5</v>
      </c>
      <c r="F333" s="242">
        <v>10.6</v>
      </c>
      <c r="G333" s="243">
        <v>13.5</v>
      </c>
      <c r="H333" s="241">
        <v>9.8000000000000007</v>
      </c>
      <c r="I333" s="242">
        <v>12.3</v>
      </c>
      <c r="J333" s="243">
        <v>15.8</v>
      </c>
      <c r="K333" s="241">
        <v>12.7</v>
      </c>
      <c r="L333" s="242">
        <v>16.2</v>
      </c>
      <c r="M333" s="243">
        <v>21.1</v>
      </c>
      <c r="N333" s="241">
        <v>21.5</v>
      </c>
      <c r="O333" s="242">
        <v>28.1</v>
      </c>
      <c r="P333" s="243">
        <v>37</v>
      </c>
      <c r="Z333" s="244">
        <f t="shared" si="16"/>
        <v>33.700000000000209</v>
      </c>
      <c r="AA333" s="376">
        <f t="shared" si="17"/>
        <v>1.3481361733163569E-4</v>
      </c>
    </row>
    <row r="334" spans="1:27">
      <c r="A334" s="244">
        <f t="shared" si="15"/>
        <v>33.80000000000021</v>
      </c>
      <c r="B334" s="241">
        <v>7.8</v>
      </c>
      <c r="C334" s="242">
        <v>9.6</v>
      </c>
      <c r="D334" s="243">
        <v>12.1</v>
      </c>
      <c r="E334" s="241">
        <v>8.6</v>
      </c>
      <c r="F334" s="242">
        <v>10.6</v>
      </c>
      <c r="G334" s="243">
        <v>13.5</v>
      </c>
      <c r="H334" s="241">
        <v>9.8000000000000007</v>
      </c>
      <c r="I334" s="242">
        <v>12.4</v>
      </c>
      <c r="J334" s="243">
        <v>15.9</v>
      </c>
      <c r="K334" s="241">
        <v>12.7</v>
      </c>
      <c r="L334" s="242">
        <v>16.3</v>
      </c>
      <c r="M334" s="243">
        <v>21.2</v>
      </c>
      <c r="N334" s="241">
        <v>21.6</v>
      </c>
      <c r="O334" s="242">
        <v>28.2</v>
      </c>
      <c r="P334" s="243">
        <v>37.1</v>
      </c>
      <c r="Z334" s="244">
        <f t="shared" si="16"/>
        <v>33.80000000000021</v>
      </c>
      <c r="AA334" s="376">
        <f t="shared" si="17"/>
        <v>1.3371959837199857E-4</v>
      </c>
    </row>
    <row r="335" spans="1:27">
      <c r="A335" s="244">
        <f t="shared" si="15"/>
        <v>33.900000000000212</v>
      </c>
      <c r="B335" s="241">
        <v>7.8</v>
      </c>
      <c r="C335" s="242">
        <v>9.6</v>
      </c>
      <c r="D335" s="243">
        <v>12.1</v>
      </c>
      <c r="E335" s="241">
        <v>8.6</v>
      </c>
      <c r="F335" s="242">
        <v>10.7</v>
      </c>
      <c r="G335" s="243">
        <v>13.6</v>
      </c>
      <c r="H335" s="241">
        <v>9.9</v>
      </c>
      <c r="I335" s="242">
        <v>12.4</v>
      </c>
      <c r="J335" s="243">
        <v>16</v>
      </c>
      <c r="K335" s="241">
        <v>12.8</v>
      </c>
      <c r="L335" s="242">
        <v>16.399999999999999</v>
      </c>
      <c r="M335" s="243">
        <v>21.2</v>
      </c>
      <c r="N335" s="241">
        <v>21.8</v>
      </c>
      <c r="O335" s="242">
        <v>28.4</v>
      </c>
      <c r="P335" s="243">
        <v>37.299999999999997</v>
      </c>
      <c r="Z335" s="244">
        <f t="shared" si="16"/>
        <v>33.900000000000212</v>
      </c>
      <c r="AA335" s="376">
        <f t="shared" si="17"/>
        <v>1.3263765016296205E-4</v>
      </c>
    </row>
    <row r="336" spans="1:27">
      <c r="A336" s="244">
        <f t="shared" si="15"/>
        <v>34.000000000000213</v>
      </c>
      <c r="B336" s="241">
        <v>7.9</v>
      </c>
      <c r="C336" s="242">
        <v>9.6999999999999993</v>
      </c>
      <c r="D336" s="243">
        <v>12.2</v>
      </c>
      <c r="E336" s="241">
        <v>8.6</v>
      </c>
      <c r="F336" s="242">
        <v>10.7</v>
      </c>
      <c r="G336" s="243">
        <v>13.6</v>
      </c>
      <c r="H336" s="241">
        <v>10</v>
      </c>
      <c r="I336" s="242">
        <v>12.5</v>
      </c>
      <c r="J336" s="243">
        <v>16</v>
      </c>
      <c r="K336" s="241">
        <v>12.9</v>
      </c>
      <c r="L336" s="242">
        <v>16.399999999999999</v>
      </c>
      <c r="M336" s="243">
        <v>21.3</v>
      </c>
      <c r="N336" s="241">
        <v>21.9</v>
      </c>
      <c r="O336" s="242">
        <v>28.5</v>
      </c>
      <c r="P336" s="243">
        <v>37.4</v>
      </c>
      <c r="Z336" s="244">
        <f t="shared" si="16"/>
        <v>34.000000000000213</v>
      </c>
      <c r="AA336" s="376">
        <f t="shared" si="17"/>
        <v>1.3156760450313659E-4</v>
      </c>
    </row>
    <row r="337" spans="1:27">
      <c r="A337" s="244">
        <f t="shared" si="15"/>
        <v>34.100000000000215</v>
      </c>
      <c r="B337" s="241">
        <v>7.9</v>
      </c>
      <c r="C337" s="242">
        <v>9.6999999999999993</v>
      </c>
      <c r="D337" s="243">
        <v>12.2</v>
      </c>
      <c r="E337" s="241">
        <v>8.6999999999999993</v>
      </c>
      <c r="F337" s="242">
        <v>10.8</v>
      </c>
      <c r="G337" s="243">
        <v>13.7</v>
      </c>
      <c r="H337" s="241">
        <v>10</v>
      </c>
      <c r="I337" s="242">
        <v>12.5</v>
      </c>
      <c r="J337" s="243">
        <v>16.100000000000001</v>
      </c>
      <c r="K337" s="241">
        <v>13</v>
      </c>
      <c r="L337" s="242">
        <v>16.5</v>
      </c>
      <c r="M337" s="243">
        <v>21.4</v>
      </c>
      <c r="N337" s="241">
        <v>22.1</v>
      </c>
      <c r="O337" s="242">
        <v>28.6</v>
      </c>
      <c r="P337" s="243">
        <v>37.6</v>
      </c>
      <c r="Z337" s="244">
        <f t="shared" si="16"/>
        <v>34.100000000000215</v>
      </c>
      <c r="AA337" s="376">
        <f t="shared" si="17"/>
        <v>1.3050929602008982E-4</v>
      </c>
    </row>
    <row r="338" spans="1:27">
      <c r="A338" s="244">
        <f t="shared" si="15"/>
        <v>34.200000000000216</v>
      </c>
      <c r="B338" s="241">
        <v>7.9</v>
      </c>
      <c r="C338" s="242">
        <v>9.6999999999999993</v>
      </c>
      <c r="D338" s="243">
        <v>12.3</v>
      </c>
      <c r="E338" s="241">
        <v>8.6999999999999993</v>
      </c>
      <c r="F338" s="242">
        <v>10.8</v>
      </c>
      <c r="G338" s="243">
        <v>13.7</v>
      </c>
      <c r="H338" s="241">
        <v>10.1</v>
      </c>
      <c r="I338" s="242">
        <v>12.6</v>
      </c>
      <c r="J338" s="243">
        <v>16.100000000000001</v>
      </c>
      <c r="K338" s="241">
        <v>13</v>
      </c>
      <c r="L338" s="242">
        <v>16.600000000000001</v>
      </c>
      <c r="M338" s="243">
        <v>21.5</v>
      </c>
      <c r="N338" s="241">
        <v>22.2</v>
      </c>
      <c r="O338" s="242">
        <v>28.8</v>
      </c>
      <c r="P338" s="243">
        <v>37.700000000000003</v>
      </c>
      <c r="Z338" s="244">
        <f t="shared" si="16"/>
        <v>34.200000000000216</v>
      </c>
      <c r="AA338" s="376">
        <f t="shared" si="17"/>
        <v>1.2946256211465509E-4</v>
      </c>
    </row>
    <row r="339" spans="1:27">
      <c r="A339" s="244">
        <f t="shared" si="15"/>
        <v>34.300000000000217</v>
      </c>
      <c r="B339" s="241">
        <v>8</v>
      </c>
      <c r="C339" s="242">
        <v>9.8000000000000007</v>
      </c>
      <c r="D339" s="243">
        <v>12.3</v>
      </c>
      <c r="E339" s="241">
        <v>8.8000000000000007</v>
      </c>
      <c r="F339" s="242">
        <v>10.9</v>
      </c>
      <c r="G339" s="243">
        <v>13.8</v>
      </c>
      <c r="H339" s="241">
        <v>10.1</v>
      </c>
      <c r="I339" s="242">
        <v>12.7</v>
      </c>
      <c r="J339" s="243">
        <v>16.2</v>
      </c>
      <c r="K339" s="241">
        <v>13.1</v>
      </c>
      <c r="L339" s="242">
        <v>16.7</v>
      </c>
      <c r="M339" s="243">
        <v>21.6</v>
      </c>
      <c r="N339" s="241">
        <v>22.3</v>
      </c>
      <c r="O339" s="242">
        <v>28.9</v>
      </c>
      <c r="P339" s="243">
        <v>37.9</v>
      </c>
      <c r="Z339" s="244">
        <f t="shared" si="16"/>
        <v>34.300000000000217</v>
      </c>
      <c r="AA339" s="376">
        <f t="shared" si="17"/>
        <v>1.2842724290649488E-4</v>
      </c>
    </row>
    <row r="340" spans="1:27">
      <c r="A340" s="244">
        <f t="shared" si="15"/>
        <v>34.400000000000219</v>
      </c>
      <c r="B340" s="241">
        <v>8</v>
      </c>
      <c r="C340" s="242">
        <v>9.8000000000000007</v>
      </c>
      <c r="D340" s="243">
        <v>12.4</v>
      </c>
      <c r="E340" s="241">
        <v>8.8000000000000007</v>
      </c>
      <c r="F340" s="242">
        <v>10.9</v>
      </c>
      <c r="G340" s="243">
        <v>13.8</v>
      </c>
      <c r="H340" s="241">
        <v>10.199999999999999</v>
      </c>
      <c r="I340" s="242">
        <v>12.7</v>
      </c>
      <c r="J340" s="243">
        <v>16.3</v>
      </c>
      <c r="K340" s="241">
        <v>13.2</v>
      </c>
      <c r="L340" s="242">
        <v>16.7</v>
      </c>
      <c r="M340" s="243">
        <v>21.7</v>
      </c>
      <c r="N340" s="241">
        <v>22.5</v>
      </c>
      <c r="O340" s="242">
        <v>29.1</v>
      </c>
      <c r="P340" s="243">
        <v>38</v>
      </c>
      <c r="Z340" s="244">
        <f t="shared" si="16"/>
        <v>34.400000000000219</v>
      </c>
      <c r="AA340" s="376">
        <f t="shared" si="17"/>
        <v>1.2740318118088751E-4</v>
      </c>
    </row>
    <row r="341" spans="1:27">
      <c r="A341" s="244">
        <f t="shared" si="15"/>
        <v>34.50000000000022</v>
      </c>
      <c r="B341" s="241">
        <v>8.1</v>
      </c>
      <c r="C341" s="242">
        <v>9.9</v>
      </c>
      <c r="D341" s="243">
        <v>12.4</v>
      </c>
      <c r="E341" s="241">
        <v>8.9</v>
      </c>
      <c r="F341" s="242">
        <v>11</v>
      </c>
      <c r="G341" s="243">
        <v>13.9</v>
      </c>
      <c r="H341" s="241">
        <v>10.199999999999999</v>
      </c>
      <c r="I341" s="242">
        <v>12.8</v>
      </c>
      <c r="J341" s="243">
        <v>16.3</v>
      </c>
      <c r="K341" s="241">
        <v>13.3</v>
      </c>
      <c r="L341" s="242">
        <v>16.8</v>
      </c>
      <c r="M341" s="243">
        <v>21.7</v>
      </c>
      <c r="N341" s="241">
        <v>22.6</v>
      </c>
      <c r="O341" s="242">
        <v>29.2</v>
      </c>
      <c r="P341" s="243">
        <v>38.200000000000003</v>
      </c>
      <c r="Z341" s="244">
        <f t="shared" si="16"/>
        <v>34.50000000000022</v>
      </c>
      <c r="AA341" s="376">
        <f t="shared" si="17"/>
        <v>1.2639022233670619E-4</v>
      </c>
    </row>
    <row r="342" spans="1:27">
      <c r="A342" s="244">
        <f t="shared" si="15"/>
        <v>34.600000000000222</v>
      </c>
      <c r="B342" s="241">
        <v>8.1</v>
      </c>
      <c r="C342" s="242">
        <v>9.9</v>
      </c>
      <c r="D342" s="243">
        <v>12.4</v>
      </c>
      <c r="E342" s="241">
        <v>8.9</v>
      </c>
      <c r="F342" s="242">
        <v>11</v>
      </c>
      <c r="G342" s="243">
        <v>13.9</v>
      </c>
      <c r="H342" s="241">
        <v>10.3</v>
      </c>
      <c r="I342" s="242">
        <v>12.8</v>
      </c>
      <c r="J342" s="243">
        <v>16.399999999999999</v>
      </c>
      <c r="K342" s="241">
        <v>13.4</v>
      </c>
      <c r="L342" s="242">
        <v>16.899999999999999</v>
      </c>
      <c r="M342" s="243">
        <v>21.8</v>
      </c>
      <c r="N342" s="241">
        <v>22.8</v>
      </c>
      <c r="O342" s="242">
        <v>29.4</v>
      </c>
      <c r="P342" s="243">
        <v>38.299999999999997</v>
      </c>
      <c r="Z342" s="244">
        <f t="shared" si="16"/>
        <v>34.600000000000222</v>
      </c>
      <c r="AA342" s="376">
        <f t="shared" si="17"/>
        <v>1.2538821433556044E-4</v>
      </c>
    </row>
    <row r="343" spans="1:27">
      <c r="A343" s="244">
        <f t="shared" si="15"/>
        <v>34.700000000000223</v>
      </c>
      <c r="B343" s="241">
        <v>8.1</v>
      </c>
      <c r="C343" s="242">
        <v>10</v>
      </c>
      <c r="D343" s="243">
        <v>12.5</v>
      </c>
      <c r="E343" s="241">
        <v>9</v>
      </c>
      <c r="F343" s="242">
        <v>11.1</v>
      </c>
      <c r="G343" s="243">
        <v>14</v>
      </c>
      <c r="H343" s="241">
        <v>10.4</v>
      </c>
      <c r="I343" s="242">
        <v>12.9</v>
      </c>
      <c r="J343" s="243">
        <v>16.399999999999999</v>
      </c>
      <c r="K343" s="241">
        <v>13.4</v>
      </c>
      <c r="L343" s="242">
        <v>17</v>
      </c>
      <c r="M343" s="243">
        <v>21.9</v>
      </c>
      <c r="N343" s="241">
        <v>22.9</v>
      </c>
      <c r="O343" s="242">
        <v>29.5</v>
      </c>
      <c r="P343" s="243">
        <v>38.5</v>
      </c>
      <c r="Z343" s="244">
        <f t="shared" si="16"/>
        <v>34.700000000000223</v>
      </c>
      <c r="AA343" s="376">
        <f t="shared" si="17"/>
        <v>1.2439700765207046E-4</v>
      </c>
    </row>
    <row r="344" spans="1:27">
      <c r="A344" s="244">
        <f t="shared" si="15"/>
        <v>34.800000000000225</v>
      </c>
      <c r="B344" s="241">
        <v>8.1999999999999993</v>
      </c>
      <c r="C344" s="242">
        <v>10</v>
      </c>
      <c r="D344" s="243">
        <v>12.5</v>
      </c>
      <c r="E344" s="241">
        <v>9</v>
      </c>
      <c r="F344" s="242">
        <v>11.1</v>
      </c>
      <c r="G344" s="243">
        <v>14</v>
      </c>
      <c r="H344" s="241">
        <v>10.4</v>
      </c>
      <c r="I344" s="242">
        <v>13</v>
      </c>
      <c r="J344" s="243">
        <v>16.5</v>
      </c>
      <c r="K344" s="241">
        <v>13.5</v>
      </c>
      <c r="L344" s="242">
        <v>17.100000000000001</v>
      </c>
      <c r="M344" s="243">
        <v>22</v>
      </c>
      <c r="N344" s="241">
        <v>23.1</v>
      </c>
      <c r="O344" s="242">
        <v>29.7</v>
      </c>
      <c r="P344" s="243">
        <v>38.700000000000003</v>
      </c>
      <c r="Z344" s="244">
        <f t="shared" si="16"/>
        <v>34.800000000000225</v>
      </c>
      <c r="AA344" s="376">
        <f t="shared" si="17"/>
        <v>1.2341645522524598E-4</v>
      </c>
    </row>
    <row r="345" spans="1:27">
      <c r="A345" s="244">
        <f t="shared" si="15"/>
        <v>34.900000000000226</v>
      </c>
      <c r="B345" s="241">
        <v>8.1999999999999993</v>
      </c>
      <c r="C345" s="242">
        <v>10</v>
      </c>
      <c r="D345" s="243">
        <v>12.6</v>
      </c>
      <c r="E345" s="241">
        <v>9.1</v>
      </c>
      <c r="F345" s="242">
        <v>11.2</v>
      </c>
      <c r="G345" s="243">
        <v>14.1</v>
      </c>
      <c r="H345" s="241">
        <v>10.5</v>
      </c>
      <c r="I345" s="242">
        <v>13</v>
      </c>
      <c r="J345" s="243">
        <v>16.600000000000001</v>
      </c>
      <c r="K345" s="241">
        <v>13.6</v>
      </c>
      <c r="L345" s="242">
        <v>17.2</v>
      </c>
      <c r="M345" s="243">
        <v>22.1</v>
      </c>
      <c r="N345" s="241">
        <v>23.3</v>
      </c>
      <c r="O345" s="242">
        <v>29.8</v>
      </c>
      <c r="P345" s="243">
        <v>38.799999999999997</v>
      </c>
      <c r="Z345" s="244">
        <f t="shared" si="16"/>
        <v>34.900000000000226</v>
      </c>
      <c r="AA345" s="376">
        <f t="shared" si="17"/>
        <v>1.2244641241094232E-4</v>
      </c>
    </row>
    <row r="346" spans="1:27">
      <c r="A346" s="244">
        <f t="shared" si="15"/>
        <v>35.000000000000227</v>
      </c>
      <c r="B346" s="241">
        <v>8.3000000000000007</v>
      </c>
      <c r="C346" s="242">
        <v>10.1</v>
      </c>
      <c r="D346" s="243">
        <v>12.6</v>
      </c>
      <c r="E346" s="241">
        <v>9.1</v>
      </c>
      <c r="F346" s="242">
        <v>11.2</v>
      </c>
      <c r="G346" s="243">
        <v>14.1</v>
      </c>
      <c r="H346" s="241">
        <v>10.5</v>
      </c>
      <c r="I346" s="242">
        <v>13.1</v>
      </c>
      <c r="J346" s="243">
        <v>16.600000000000001</v>
      </c>
      <c r="K346" s="241">
        <v>13.7</v>
      </c>
      <c r="L346" s="242">
        <v>17.3</v>
      </c>
      <c r="M346" s="243">
        <v>22.2</v>
      </c>
      <c r="N346" s="241">
        <v>23.4</v>
      </c>
      <c r="O346" s="242">
        <v>30</v>
      </c>
      <c r="P346" s="243">
        <v>39</v>
      </c>
      <c r="Z346" s="244">
        <f t="shared" si="16"/>
        <v>35.000000000000227</v>
      </c>
      <c r="AA346" s="376">
        <f t="shared" si="17"/>
        <v>1.214867369353664E-4</v>
      </c>
    </row>
    <row r="347" spans="1:27">
      <c r="A347" s="244">
        <f t="shared" si="15"/>
        <v>35.100000000000229</v>
      </c>
      <c r="B347" s="241">
        <v>8.3000000000000007</v>
      </c>
      <c r="C347" s="242">
        <v>10.1</v>
      </c>
      <c r="D347" s="243">
        <v>12.7</v>
      </c>
      <c r="E347" s="241">
        <v>9.1999999999999993</v>
      </c>
      <c r="F347" s="242">
        <v>11.3</v>
      </c>
      <c r="G347" s="243">
        <v>14.2</v>
      </c>
      <c r="H347" s="241">
        <v>10.6</v>
      </c>
      <c r="I347" s="242">
        <v>13.2</v>
      </c>
      <c r="J347" s="243">
        <v>16.7</v>
      </c>
      <c r="K347" s="241">
        <v>13.8</v>
      </c>
      <c r="L347" s="242">
        <v>17.399999999999999</v>
      </c>
      <c r="M347" s="243">
        <v>22.3</v>
      </c>
      <c r="N347" s="241">
        <v>23.6</v>
      </c>
      <c r="O347" s="242">
        <v>30.2</v>
      </c>
      <c r="P347" s="243">
        <v>39.200000000000003</v>
      </c>
      <c r="Z347" s="244">
        <f t="shared" si="16"/>
        <v>35.100000000000229</v>
      </c>
      <c r="AA347" s="376">
        <f t="shared" si="17"/>
        <v>1.2053728884960691E-4</v>
      </c>
    </row>
    <row r="348" spans="1:27">
      <c r="A348" s="244">
        <f t="shared" si="15"/>
        <v>35.20000000000023</v>
      </c>
      <c r="B348" s="241">
        <v>8.4</v>
      </c>
      <c r="C348" s="242">
        <v>10.199999999999999</v>
      </c>
      <c r="D348" s="243">
        <v>12.7</v>
      </c>
      <c r="E348" s="241">
        <v>9.1999999999999993</v>
      </c>
      <c r="F348" s="242">
        <v>11.3</v>
      </c>
      <c r="G348" s="243">
        <v>14.3</v>
      </c>
      <c r="H348" s="241">
        <v>10.7</v>
      </c>
      <c r="I348" s="242">
        <v>13.2</v>
      </c>
      <c r="J348" s="243">
        <v>16.8</v>
      </c>
      <c r="K348" s="241">
        <v>13.9</v>
      </c>
      <c r="L348" s="242">
        <v>17.399999999999999</v>
      </c>
      <c r="M348" s="243">
        <v>22.4</v>
      </c>
      <c r="N348" s="241">
        <v>23.8</v>
      </c>
      <c r="O348" s="242">
        <v>30.3</v>
      </c>
      <c r="P348" s="243">
        <v>39.299999999999997</v>
      </c>
      <c r="Z348" s="244">
        <f t="shared" si="16"/>
        <v>35.20000000000023</v>
      </c>
      <c r="AA348" s="376">
        <f t="shared" si="17"/>
        <v>1.1959793048516289E-4</v>
      </c>
    </row>
    <row r="349" spans="1:27">
      <c r="A349" s="244">
        <f t="shared" si="15"/>
        <v>35.300000000000232</v>
      </c>
      <c r="B349" s="241">
        <v>8.4</v>
      </c>
      <c r="C349" s="242">
        <v>10.199999999999999</v>
      </c>
      <c r="D349" s="243">
        <v>12.8</v>
      </c>
      <c r="E349" s="241">
        <v>9.3000000000000007</v>
      </c>
      <c r="F349" s="242">
        <v>11.4</v>
      </c>
      <c r="G349" s="243">
        <v>14.3</v>
      </c>
      <c r="H349" s="241">
        <v>10.7</v>
      </c>
      <c r="I349" s="242">
        <v>13.3</v>
      </c>
      <c r="J349" s="243">
        <v>16.899999999999999</v>
      </c>
      <c r="K349" s="241">
        <v>14</v>
      </c>
      <c r="L349" s="242">
        <v>17.5</v>
      </c>
      <c r="M349" s="243">
        <v>22.5</v>
      </c>
      <c r="N349" s="241">
        <v>23.9</v>
      </c>
      <c r="O349" s="242">
        <v>30.5</v>
      </c>
      <c r="P349" s="243">
        <v>39.5</v>
      </c>
      <c r="Z349" s="244">
        <f t="shared" si="16"/>
        <v>35.300000000000232</v>
      </c>
      <c r="AA349" s="376">
        <f t="shared" si="17"/>
        <v>1.1866852641044647E-4</v>
      </c>
    </row>
    <row r="350" spans="1:27">
      <c r="A350" s="244">
        <f t="shared" si="15"/>
        <v>35.400000000000233</v>
      </c>
      <c r="B350" s="241">
        <v>8.5</v>
      </c>
      <c r="C350" s="242">
        <v>10.3</v>
      </c>
      <c r="D350" s="243">
        <v>12.8</v>
      </c>
      <c r="E350" s="241">
        <v>9.3000000000000007</v>
      </c>
      <c r="F350" s="242">
        <v>11.4</v>
      </c>
      <c r="G350" s="243">
        <v>14.4</v>
      </c>
      <c r="H350" s="241">
        <v>10.8</v>
      </c>
      <c r="I350" s="242">
        <v>13.4</v>
      </c>
      <c r="J350" s="243">
        <v>16.899999999999999</v>
      </c>
      <c r="K350" s="241">
        <v>14.1</v>
      </c>
      <c r="L350" s="242">
        <v>17.600000000000001</v>
      </c>
      <c r="M350" s="243">
        <v>22.6</v>
      </c>
      <c r="N350" s="241">
        <v>24.1</v>
      </c>
      <c r="O350" s="242">
        <v>30.7</v>
      </c>
      <c r="P350" s="243">
        <v>39.700000000000003</v>
      </c>
      <c r="Z350" s="244">
        <f t="shared" si="16"/>
        <v>35.400000000000233</v>
      </c>
      <c r="AA350" s="376">
        <f t="shared" si="17"/>
        <v>1.1774894338823542E-4</v>
      </c>
    </row>
    <row r="351" spans="1:27">
      <c r="A351" s="244">
        <f t="shared" si="15"/>
        <v>35.500000000000234</v>
      </c>
      <c r="B351" s="241">
        <v>8.5</v>
      </c>
      <c r="C351" s="242">
        <v>10.3</v>
      </c>
      <c r="D351" s="243">
        <v>12.9</v>
      </c>
      <c r="E351" s="241">
        <v>9.4</v>
      </c>
      <c r="F351" s="242">
        <v>11.5</v>
      </c>
      <c r="G351" s="243">
        <v>14.4</v>
      </c>
      <c r="H351" s="241">
        <v>10.9</v>
      </c>
      <c r="I351" s="242">
        <v>13.4</v>
      </c>
      <c r="J351" s="243">
        <v>17</v>
      </c>
      <c r="K351" s="241">
        <v>14.2</v>
      </c>
      <c r="L351" s="242">
        <v>17.7</v>
      </c>
      <c r="M351" s="243">
        <v>22.7</v>
      </c>
      <c r="N351" s="241">
        <v>24.3</v>
      </c>
      <c r="O351" s="242">
        <v>30.9</v>
      </c>
      <c r="P351" s="243">
        <v>39.9</v>
      </c>
      <c r="Z351" s="244">
        <f t="shared" si="16"/>
        <v>35.500000000000234</v>
      </c>
      <c r="AA351" s="376">
        <f t="shared" si="17"/>
        <v>1.1683905033405211E-4</v>
      </c>
    </row>
    <row r="352" spans="1:27">
      <c r="A352" s="244">
        <f t="shared" si="15"/>
        <v>35.600000000000236</v>
      </c>
      <c r="B352" s="241">
        <v>8.6</v>
      </c>
      <c r="C352" s="242">
        <v>10.4</v>
      </c>
      <c r="D352" s="243">
        <v>13</v>
      </c>
      <c r="E352" s="241">
        <v>9.4</v>
      </c>
      <c r="F352" s="242">
        <v>11.5</v>
      </c>
      <c r="G352" s="243">
        <v>14.5</v>
      </c>
      <c r="H352" s="241">
        <v>10.9</v>
      </c>
      <c r="I352" s="242">
        <v>13.5</v>
      </c>
      <c r="J352" s="243">
        <v>17.100000000000001</v>
      </c>
      <c r="K352" s="241">
        <v>14.3</v>
      </c>
      <c r="L352" s="242">
        <v>17.8</v>
      </c>
      <c r="M352" s="243">
        <v>22.8</v>
      </c>
      <c r="N352" s="241">
        <v>24.4</v>
      </c>
      <c r="O352" s="242">
        <v>31</v>
      </c>
      <c r="P352" s="243">
        <v>40.1</v>
      </c>
      <c r="Z352" s="244">
        <f t="shared" si="16"/>
        <v>35.600000000000236</v>
      </c>
      <c r="AA352" s="376">
        <f t="shared" si="17"/>
        <v>1.1593871827544668E-4</v>
      </c>
    </row>
    <row r="353" spans="1:27">
      <c r="A353" s="244">
        <f t="shared" si="15"/>
        <v>35.700000000000237</v>
      </c>
      <c r="B353" s="241">
        <v>8.6</v>
      </c>
      <c r="C353" s="242">
        <v>10.4</v>
      </c>
      <c r="D353" s="243">
        <v>13</v>
      </c>
      <c r="E353" s="241">
        <v>9.5</v>
      </c>
      <c r="F353" s="242">
        <v>11.6</v>
      </c>
      <c r="G353" s="243">
        <v>14.6</v>
      </c>
      <c r="H353" s="241">
        <v>11</v>
      </c>
      <c r="I353" s="242">
        <v>13.6</v>
      </c>
      <c r="J353" s="243">
        <v>17.2</v>
      </c>
      <c r="K353" s="241">
        <v>14.3</v>
      </c>
      <c r="L353" s="242">
        <v>17.899999999999999</v>
      </c>
      <c r="M353" s="243">
        <v>22.9</v>
      </c>
      <c r="N353" s="241">
        <v>24.6</v>
      </c>
      <c r="O353" s="242">
        <v>31.2</v>
      </c>
      <c r="P353" s="243">
        <v>40.299999999999997</v>
      </c>
      <c r="Z353" s="244">
        <f t="shared" si="16"/>
        <v>35.700000000000237</v>
      </c>
      <c r="AA353" s="376">
        <f t="shared" si="17"/>
        <v>1.1504782031216159E-4</v>
      </c>
    </row>
    <row r="354" spans="1:27">
      <c r="A354" s="244">
        <f t="shared" si="15"/>
        <v>35.800000000000239</v>
      </c>
      <c r="B354" s="241">
        <v>8.6999999999999993</v>
      </c>
      <c r="C354" s="242">
        <v>10.5</v>
      </c>
      <c r="D354" s="243">
        <v>13.1</v>
      </c>
      <c r="E354" s="241">
        <v>9.6</v>
      </c>
      <c r="F354" s="242">
        <v>11.7</v>
      </c>
      <c r="G354" s="243">
        <v>14.6</v>
      </c>
      <c r="H354" s="241">
        <v>11.1</v>
      </c>
      <c r="I354" s="242">
        <v>13.6</v>
      </c>
      <c r="J354" s="243">
        <v>17.2</v>
      </c>
      <c r="K354" s="241">
        <v>14.4</v>
      </c>
      <c r="L354" s="242">
        <v>18</v>
      </c>
      <c r="M354" s="243">
        <v>23</v>
      </c>
      <c r="N354" s="241">
        <v>24.8</v>
      </c>
      <c r="O354" s="242">
        <v>31.4</v>
      </c>
      <c r="P354" s="243">
        <v>40.5</v>
      </c>
      <c r="Z354" s="244">
        <f t="shared" si="16"/>
        <v>35.800000000000239</v>
      </c>
      <c r="AA354" s="376">
        <f t="shared" si="17"/>
        <v>1.1416623157715661E-4</v>
      </c>
    </row>
    <row r="355" spans="1:27">
      <c r="A355" s="244">
        <f t="shared" si="15"/>
        <v>35.90000000000024</v>
      </c>
      <c r="B355" s="241">
        <v>8.6999999999999993</v>
      </c>
      <c r="C355" s="242">
        <v>10.5</v>
      </c>
      <c r="D355" s="243">
        <v>13.1</v>
      </c>
      <c r="E355" s="241">
        <v>9.6</v>
      </c>
      <c r="F355" s="242">
        <v>11.7</v>
      </c>
      <c r="G355" s="243">
        <v>14.7</v>
      </c>
      <c r="H355" s="241">
        <v>11.1</v>
      </c>
      <c r="I355" s="242">
        <v>13.7</v>
      </c>
      <c r="J355" s="243">
        <v>17.3</v>
      </c>
      <c r="K355" s="241">
        <v>14.5</v>
      </c>
      <c r="L355" s="242">
        <v>18.100000000000001</v>
      </c>
      <c r="M355" s="243">
        <v>23.1</v>
      </c>
      <c r="N355" s="241">
        <v>25</v>
      </c>
      <c r="O355" s="242">
        <v>31.6</v>
      </c>
      <c r="P355" s="243">
        <v>40.700000000000003</v>
      </c>
      <c r="Z355" s="244">
        <f t="shared" si="16"/>
        <v>35.90000000000024</v>
      </c>
      <c r="AA355" s="376">
        <f t="shared" si="17"/>
        <v>1.1329382919847312E-4</v>
      </c>
    </row>
    <row r="356" spans="1:27">
      <c r="A356" s="244">
        <f t="shared" si="15"/>
        <v>36.000000000000242</v>
      </c>
      <c r="B356" s="241">
        <v>8.8000000000000007</v>
      </c>
      <c r="C356" s="242">
        <v>10.6</v>
      </c>
      <c r="D356" s="243">
        <v>13.2</v>
      </c>
      <c r="E356" s="241">
        <v>9.6999999999999993</v>
      </c>
      <c r="F356" s="242">
        <v>11.8</v>
      </c>
      <c r="G356" s="243">
        <v>14.8</v>
      </c>
      <c r="H356" s="241">
        <v>11.2</v>
      </c>
      <c r="I356" s="242">
        <v>13.8</v>
      </c>
      <c r="J356" s="243">
        <v>17.399999999999999</v>
      </c>
      <c r="K356" s="241">
        <v>14.6</v>
      </c>
      <c r="L356" s="242">
        <v>18.2</v>
      </c>
      <c r="M356" s="243">
        <v>23.2</v>
      </c>
      <c r="N356" s="241">
        <v>25.2</v>
      </c>
      <c r="O356" s="242">
        <v>31.8</v>
      </c>
      <c r="P356" s="243">
        <v>40.9</v>
      </c>
      <c r="Z356" s="244">
        <f t="shared" si="16"/>
        <v>36.000000000000242</v>
      </c>
      <c r="AA356" s="376">
        <f t="shared" si="17"/>
        <v>1.1243049226191719E-4</v>
      </c>
    </row>
    <row r="357" spans="1:27">
      <c r="A357" s="244">
        <f t="shared" si="15"/>
        <v>36.100000000000243</v>
      </c>
      <c r="B357" s="241">
        <v>8.8000000000000007</v>
      </c>
      <c r="C357" s="242">
        <v>10.6</v>
      </c>
      <c r="D357" s="243">
        <v>13.2</v>
      </c>
      <c r="E357" s="241">
        <v>9.6999999999999993</v>
      </c>
      <c r="F357" s="242">
        <v>11.9</v>
      </c>
      <c r="G357" s="243">
        <v>14.8</v>
      </c>
      <c r="H357" s="241">
        <v>11.3</v>
      </c>
      <c r="I357" s="242">
        <v>13.9</v>
      </c>
      <c r="J357" s="243">
        <v>17.5</v>
      </c>
      <c r="K357" s="241">
        <v>14.7</v>
      </c>
      <c r="L357" s="242">
        <v>18.3</v>
      </c>
      <c r="M357" s="243">
        <v>23.4</v>
      </c>
      <c r="N357" s="241">
        <v>25.3</v>
      </c>
      <c r="O357" s="242">
        <v>32</v>
      </c>
      <c r="P357" s="243">
        <v>41.1</v>
      </c>
      <c r="Z357" s="244">
        <f t="shared" si="16"/>
        <v>36.100000000000243</v>
      </c>
      <c r="AA357" s="376">
        <f t="shared" si="17"/>
        <v>1.1157610177454229E-4</v>
      </c>
    </row>
    <row r="358" spans="1:27">
      <c r="A358" s="244">
        <f t="shared" si="15"/>
        <v>36.200000000000244</v>
      </c>
      <c r="B358" s="241">
        <v>8.9</v>
      </c>
      <c r="C358" s="242">
        <v>10.7</v>
      </c>
      <c r="D358" s="243">
        <v>13.3</v>
      </c>
      <c r="E358" s="241">
        <v>9.8000000000000007</v>
      </c>
      <c r="F358" s="242">
        <v>11.9</v>
      </c>
      <c r="G358" s="243">
        <v>14.9</v>
      </c>
      <c r="H358" s="241">
        <v>11.4</v>
      </c>
      <c r="I358" s="242">
        <v>13.9</v>
      </c>
      <c r="J358" s="243">
        <v>17.600000000000001</v>
      </c>
      <c r="K358" s="241">
        <v>14.8</v>
      </c>
      <c r="L358" s="242">
        <v>18.399999999999999</v>
      </c>
      <c r="M358" s="243">
        <v>23.5</v>
      </c>
      <c r="N358" s="241">
        <v>25.5</v>
      </c>
      <c r="O358" s="242">
        <v>32.200000000000003</v>
      </c>
      <c r="P358" s="243">
        <v>41.3</v>
      </c>
      <c r="Z358" s="244">
        <f t="shared" si="16"/>
        <v>36.200000000000244</v>
      </c>
      <c r="AA358" s="376">
        <f t="shared" si="17"/>
        <v>1.1073054062891139E-4</v>
      </c>
    </row>
    <row r="359" spans="1:27">
      <c r="A359" s="244">
        <f t="shared" si="15"/>
        <v>36.300000000000246</v>
      </c>
      <c r="B359" s="241">
        <v>8.9</v>
      </c>
      <c r="C359" s="242">
        <v>10.8</v>
      </c>
      <c r="D359" s="243">
        <v>13.4</v>
      </c>
      <c r="E359" s="241">
        <v>9.9</v>
      </c>
      <c r="F359" s="242">
        <v>12</v>
      </c>
      <c r="G359" s="243">
        <v>15</v>
      </c>
      <c r="H359" s="241">
        <v>11.4</v>
      </c>
      <c r="I359" s="242">
        <v>14</v>
      </c>
      <c r="J359" s="243">
        <v>17.600000000000001</v>
      </c>
      <c r="K359" s="241">
        <v>15</v>
      </c>
      <c r="L359" s="242">
        <v>18.600000000000001</v>
      </c>
      <c r="M359" s="243">
        <v>23.6</v>
      </c>
      <c r="N359" s="241">
        <v>25.7</v>
      </c>
      <c r="O359" s="242">
        <v>32.4</v>
      </c>
      <c r="P359" s="243">
        <v>41.5</v>
      </c>
      <c r="Z359" s="244">
        <f t="shared" si="16"/>
        <v>36.300000000000246</v>
      </c>
      <c r="AA359" s="376">
        <f t="shared" si="17"/>
        <v>1.0989369356812047E-4</v>
      </c>
    </row>
    <row r="360" spans="1:27">
      <c r="A360" s="244">
        <f t="shared" si="15"/>
        <v>36.400000000000247</v>
      </c>
      <c r="B360" s="241">
        <v>9</v>
      </c>
      <c r="C360" s="242">
        <v>10.8</v>
      </c>
      <c r="D360" s="243">
        <v>13.4</v>
      </c>
      <c r="E360" s="241">
        <v>9.9</v>
      </c>
      <c r="F360" s="242">
        <v>12</v>
      </c>
      <c r="G360" s="243">
        <v>15</v>
      </c>
      <c r="H360" s="241">
        <v>11.5</v>
      </c>
      <c r="I360" s="242">
        <v>14.1</v>
      </c>
      <c r="J360" s="243">
        <v>17.7</v>
      </c>
      <c r="K360" s="241">
        <v>15.1</v>
      </c>
      <c r="L360" s="242">
        <v>18.7</v>
      </c>
      <c r="M360" s="243">
        <v>23.7</v>
      </c>
      <c r="N360" s="241">
        <v>25.9</v>
      </c>
      <c r="O360" s="242">
        <v>32.6</v>
      </c>
      <c r="P360" s="243">
        <v>41.7</v>
      </c>
      <c r="Z360" s="244">
        <f t="shared" si="16"/>
        <v>36.400000000000247</v>
      </c>
      <c r="AA360" s="376">
        <f t="shared" si="17"/>
        <v>1.0906544715156506E-4</v>
      </c>
    </row>
    <row r="361" spans="1:27">
      <c r="A361" s="244">
        <f t="shared" si="15"/>
        <v>36.500000000000249</v>
      </c>
      <c r="B361" s="241">
        <v>9</v>
      </c>
      <c r="C361" s="242">
        <v>10.9</v>
      </c>
      <c r="D361" s="243">
        <v>13.5</v>
      </c>
      <c r="E361" s="241">
        <v>10</v>
      </c>
      <c r="F361" s="242">
        <v>12.1</v>
      </c>
      <c r="G361" s="243">
        <v>15.1</v>
      </c>
      <c r="H361" s="241">
        <v>11.6</v>
      </c>
      <c r="I361" s="242">
        <v>14.2</v>
      </c>
      <c r="J361" s="243">
        <v>17.8</v>
      </c>
      <c r="K361" s="241">
        <v>15.2</v>
      </c>
      <c r="L361" s="242">
        <v>18.8</v>
      </c>
      <c r="M361" s="243">
        <v>23.8</v>
      </c>
      <c r="N361" s="241">
        <v>26.1</v>
      </c>
      <c r="O361" s="242">
        <v>32.799999999999997</v>
      </c>
      <c r="P361" s="243">
        <v>41.9</v>
      </c>
      <c r="Z361" s="244">
        <f t="shared" si="16"/>
        <v>36.500000000000249</v>
      </c>
      <c r="AA361" s="376">
        <f t="shared" si="17"/>
        <v>1.0824568972143158E-4</v>
      </c>
    </row>
    <row r="362" spans="1:27">
      <c r="A362" s="244">
        <f t="shared" si="15"/>
        <v>36.60000000000025</v>
      </c>
      <c r="B362" s="241">
        <v>9.1</v>
      </c>
      <c r="C362" s="242">
        <v>10.9</v>
      </c>
      <c r="D362" s="243">
        <v>13.5</v>
      </c>
      <c r="E362" s="241">
        <v>10</v>
      </c>
      <c r="F362" s="242">
        <v>12.2</v>
      </c>
      <c r="G362" s="243">
        <v>15.2</v>
      </c>
      <c r="H362" s="241">
        <v>11.7</v>
      </c>
      <c r="I362" s="242">
        <v>14.3</v>
      </c>
      <c r="J362" s="243">
        <v>17.899999999999999</v>
      </c>
      <c r="K362" s="241">
        <v>15.3</v>
      </c>
      <c r="L362" s="242">
        <v>18.899999999999999</v>
      </c>
      <c r="M362" s="243">
        <v>23.9</v>
      </c>
      <c r="N362" s="241">
        <v>26.3</v>
      </c>
      <c r="O362" s="242">
        <v>33</v>
      </c>
      <c r="P362" s="243">
        <v>42.1</v>
      </c>
      <c r="Z362" s="244">
        <f t="shared" si="16"/>
        <v>36.60000000000025</v>
      </c>
      <c r="AA362" s="376">
        <f t="shared" si="17"/>
        <v>1.0743431136989679E-4</v>
      </c>
    </row>
    <row r="363" spans="1:27">
      <c r="A363" s="244">
        <f t="shared" si="15"/>
        <v>36.700000000000252</v>
      </c>
      <c r="B363" s="241">
        <v>9.1</v>
      </c>
      <c r="C363" s="242">
        <v>11</v>
      </c>
      <c r="D363" s="243">
        <v>13.6</v>
      </c>
      <c r="E363" s="241">
        <v>10.1</v>
      </c>
      <c r="F363" s="242">
        <v>12.2</v>
      </c>
      <c r="G363" s="243">
        <v>15.3</v>
      </c>
      <c r="H363" s="241">
        <v>11.7</v>
      </c>
      <c r="I363" s="242">
        <v>14.3</v>
      </c>
      <c r="J363" s="243">
        <v>18</v>
      </c>
      <c r="K363" s="241">
        <v>15.4</v>
      </c>
      <c r="L363" s="242">
        <v>19</v>
      </c>
      <c r="M363" s="243">
        <v>24.1</v>
      </c>
      <c r="N363" s="241">
        <v>26.5</v>
      </c>
      <c r="O363" s="242">
        <v>33.200000000000003</v>
      </c>
      <c r="P363" s="243">
        <v>42.3</v>
      </c>
      <c r="Z363" s="244">
        <f t="shared" si="16"/>
        <v>36.700000000000252</v>
      </c>
      <c r="AA363" s="376">
        <f t="shared" si="17"/>
        <v>1.0663120390701808E-4</v>
      </c>
    </row>
    <row r="364" spans="1:27">
      <c r="A364" s="244">
        <f t="shared" si="15"/>
        <v>36.800000000000253</v>
      </c>
      <c r="B364" s="241">
        <v>9.1999999999999993</v>
      </c>
      <c r="C364" s="242">
        <v>11</v>
      </c>
      <c r="D364" s="243">
        <v>13.7</v>
      </c>
      <c r="E364" s="241">
        <v>10.199999999999999</v>
      </c>
      <c r="F364" s="242">
        <v>12.3</v>
      </c>
      <c r="G364" s="243">
        <v>15.3</v>
      </c>
      <c r="H364" s="241">
        <v>11.8</v>
      </c>
      <c r="I364" s="242">
        <v>14.4</v>
      </c>
      <c r="J364" s="243">
        <v>18.100000000000001</v>
      </c>
      <c r="K364" s="241">
        <v>15.5</v>
      </c>
      <c r="L364" s="242">
        <v>19.100000000000001</v>
      </c>
      <c r="M364" s="243">
        <v>24.2</v>
      </c>
      <c r="N364" s="241">
        <v>26.7</v>
      </c>
      <c r="O364" s="242">
        <v>33.4</v>
      </c>
      <c r="P364" s="243">
        <v>42.6</v>
      </c>
      <c r="Z364" s="244">
        <f t="shared" si="16"/>
        <v>36.800000000000253</v>
      </c>
      <c r="AA364" s="376">
        <f t="shared" si="17"/>
        <v>1.0583626082929848E-4</v>
      </c>
    </row>
    <row r="365" spans="1:27">
      <c r="A365" s="244">
        <f t="shared" si="15"/>
        <v>36.900000000000254</v>
      </c>
      <c r="B365" s="241">
        <v>9.1999999999999993</v>
      </c>
      <c r="C365" s="242">
        <v>11.1</v>
      </c>
      <c r="D365" s="243">
        <v>13.7</v>
      </c>
      <c r="E365" s="241">
        <v>10.199999999999999</v>
      </c>
      <c r="F365" s="242">
        <v>12.4</v>
      </c>
      <c r="G365" s="243">
        <v>15.4</v>
      </c>
      <c r="H365" s="241">
        <v>11.9</v>
      </c>
      <c r="I365" s="242">
        <v>14.5</v>
      </c>
      <c r="J365" s="243">
        <v>18.2</v>
      </c>
      <c r="K365" s="241">
        <v>15.6</v>
      </c>
      <c r="L365" s="242">
        <v>19.2</v>
      </c>
      <c r="M365" s="243">
        <v>24.3</v>
      </c>
      <c r="N365" s="241">
        <v>26.9</v>
      </c>
      <c r="O365" s="242">
        <v>33.6</v>
      </c>
      <c r="P365" s="243">
        <v>42.8</v>
      </c>
      <c r="Z365" s="244">
        <f t="shared" si="16"/>
        <v>36.900000000000254</v>
      </c>
      <c r="AA365" s="376">
        <f t="shared" si="17"/>
        <v>1.0504937728891035E-4</v>
      </c>
    </row>
    <row r="366" spans="1:27">
      <c r="A366" s="244">
        <f t="shared" si="15"/>
        <v>37.000000000000256</v>
      </c>
      <c r="B366" s="241">
        <v>9.3000000000000007</v>
      </c>
      <c r="C366" s="242">
        <v>11.2</v>
      </c>
      <c r="D366" s="243">
        <v>13.8</v>
      </c>
      <c r="E366" s="241">
        <v>10.3</v>
      </c>
      <c r="F366" s="242">
        <v>12.5</v>
      </c>
      <c r="G366" s="243">
        <v>15.5</v>
      </c>
      <c r="H366" s="241">
        <v>12</v>
      </c>
      <c r="I366" s="242">
        <v>14.6</v>
      </c>
      <c r="J366" s="243">
        <v>18.3</v>
      </c>
      <c r="K366" s="241">
        <v>15.7</v>
      </c>
      <c r="L366" s="242">
        <v>19.399999999999999</v>
      </c>
      <c r="M366" s="243">
        <v>24.5</v>
      </c>
      <c r="N366" s="241">
        <v>27.1</v>
      </c>
      <c r="O366" s="242">
        <v>33.799999999999997</v>
      </c>
      <c r="P366" s="243">
        <v>43</v>
      </c>
      <c r="Z366" s="244">
        <f t="shared" si="16"/>
        <v>37.000000000000256</v>
      </c>
      <c r="AA366" s="376">
        <f t="shared" si="17"/>
        <v>1.0427045006356193E-4</v>
      </c>
    </row>
    <row r="367" spans="1:27">
      <c r="A367" s="244">
        <f t="shared" si="15"/>
        <v>37.100000000000257</v>
      </c>
      <c r="B367" s="241">
        <v>9.4</v>
      </c>
      <c r="C367" s="242">
        <v>11.2</v>
      </c>
      <c r="D367" s="243">
        <v>13.9</v>
      </c>
      <c r="E367" s="241">
        <v>10.4</v>
      </c>
      <c r="F367" s="242">
        <v>12.5</v>
      </c>
      <c r="G367" s="243">
        <v>15.6</v>
      </c>
      <c r="H367" s="241">
        <v>12.1</v>
      </c>
      <c r="I367" s="242">
        <v>14.7</v>
      </c>
      <c r="J367" s="243">
        <v>18.399999999999999</v>
      </c>
      <c r="K367" s="241">
        <v>15.8</v>
      </c>
      <c r="L367" s="242">
        <v>19.5</v>
      </c>
      <c r="M367" s="243">
        <v>24.6</v>
      </c>
      <c r="N367" s="241">
        <v>27.3</v>
      </c>
      <c r="O367" s="242">
        <v>34</v>
      </c>
      <c r="P367" s="243">
        <v>43.3</v>
      </c>
      <c r="Z367" s="244">
        <f t="shared" si="16"/>
        <v>37.100000000000257</v>
      </c>
      <c r="AA367" s="376">
        <f t="shared" si="17"/>
        <v>1.0349937752699222E-4</v>
      </c>
    </row>
    <row r="368" spans="1:27">
      <c r="A368" s="244">
        <f t="shared" si="15"/>
        <v>37.200000000000259</v>
      </c>
      <c r="B368" s="241">
        <v>9.4</v>
      </c>
      <c r="C368" s="242">
        <v>11.3</v>
      </c>
      <c r="D368" s="243">
        <v>14</v>
      </c>
      <c r="E368" s="241">
        <v>10.4</v>
      </c>
      <c r="F368" s="242">
        <v>12.6</v>
      </c>
      <c r="G368" s="243">
        <v>15.7</v>
      </c>
      <c r="H368" s="241">
        <v>12.2</v>
      </c>
      <c r="I368" s="242">
        <v>14.8</v>
      </c>
      <c r="J368" s="243">
        <v>18.5</v>
      </c>
      <c r="K368" s="241">
        <v>16</v>
      </c>
      <c r="L368" s="242">
        <v>19.600000000000001</v>
      </c>
      <c r="M368" s="243">
        <v>24.7</v>
      </c>
      <c r="N368" s="241">
        <v>27.6</v>
      </c>
      <c r="O368" s="242">
        <v>34.299999999999997</v>
      </c>
      <c r="P368" s="243">
        <v>43.5</v>
      </c>
      <c r="Z368" s="244">
        <f t="shared" si="16"/>
        <v>37.200000000000259</v>
      </c>
      <c r="AA368" s="376">
        <f t="shared" si="17"/>
        <v>1.02736059620079E-4</v>
      </c>
    </row>
    <row r="369" spans="1:27">
      <c r="A369" s="244">
        <f t="shared" si="15"/>
        <v>37.30000000000026</v>
      </c>
      <c r="B369" s="241">
        <v>9.5</v>
      </c>
      <c r="C369" s="242">
        <v>11.4</v>
      </c>
      <c r="D369" s="243">
        <v>14</v>
      </c>
      <c r="E369" s="241">
        <v>10.5</v>
      </c>
      <c r="F369" s="242">
        <v>12.7</v>
      </c>
      <c r="G369" s="243">
        <v>15.7</v>
      </c>
      <c r="H369" s="241">
        <v>12.2</v>
      </c>
      <c r="I369" s="242">
        <v>14.9</v>
      </c>
      <c r="J369" s="243">
        <v>18.600000000000001</v>
      </c>
      <c r="K369" s="241">
        <v>16.100000000000001</v>
      </c>
      <c r="L369" s="242">
        <v>19.7</v>
      </c>
      <c r="M369" s="243">
        <v>24.9</v>
      </c>
      <c r="N369" s="241">
        <v>27.8</v>
      </c>
      <c r="O369" s="242">
        <v>34.5</v>
      </c>
      <c r="P369" s="243">
        <v>43.7</v>
      </c>
      <c r="Z369" s="244">
        <f t="shared" si="16"/>
        <v>37.30000000000026</v>
      </c>
      <c r="AA369" s="376">
        <f t="shared" si="17"/>
        <v>1.0198039782254538E-4</v>
      </c>
    </row>
    <row r="370" spans="1:27">
      <c r="A370" s="244">
        <f t="shared" si="15"/>
        <v>37.400000000000261</v>
      </c>
      <c r="B370" s="241">
        <v>9.5</v>
      </c>
      <c r="C370" s="242">
        <v>11.4</v>
      </c>
      <c r="D370" s="243">
        <v>14.1</v>
      </c>
      <c r="E370" s="241">
        <v>10.6</v>
      </c>
      <c r="F370" s="242">
        <v>12.8</v>
      </c>
      <c r="G370" s="243">
        <v>15.8</v>
      </c>
      <c r="H370" s="241">
        <v>12.3</v>
      </c>
      <c r="I370" s="242">
        <v>15</v>
      </c>
      <c r="J370" s="243">
        <v>18.7</v>
      </c>
      <c r="K370" s="241">
        <v>16.2</v>
      </c>
      <c r="L370" s="242">
        <v>19.899999999999999</v>
      </c>
      <c r="M370" s="243">
        <v>25</v>
      </c>
      <c r="N370" s="241">
        <v>28</v>
      </c>
      <c r="O370" s="242">
        <v>34.700000000000003</v>
      </c>
      <c r="P370" s="243">
        <v>44</v>
      </c>
      <c r="Z370" s="244">
        <f t="shared" si="16"/>
        <v>37.400000000000261</v>
      </c>
      <c r="AA370" s="376">
        <f t="shared" si="17"/>
        <v>1.0123229512525184E-4</v>
      </c>
    </row>
    <row r="371" spans="1:27">
      <c r="A371" s="244">
        <f t="shared" si="15"/>
        <v>37.500000000000263</v>
      </c>
      <c r="B371" s="241">
        <v>9.6</v>
      </c>
      <c r="C371" s="242">
        <v>11.5</v>
      </c>
      <c r="D371" s="243">
        <v>14.2</v>
      </c>
      <c r="E371" s="241">
        <v>10.7</v>
      </c>
      <c r="F371" s="242">
        <v>12.8</v>
      </c>
      <c r="G371" s="243">
        <v>15.9</v>
      </c>
      <c r="H371" s="241">
        <v>12.4</v>
      </c>
      <c r="I371" s="242">
        <v>15</v>
      </c>
      <c r="J371" s="243">
        <v>18.8</v>
      </c>
      <c r="K371" s="241">
        <v>16.3</v>
      </c>
      <c r="L371" s="242">
        <v>20</v>
      </c>
      <c r="M371" s="243">
        <v>25.1</v>
      </c>
      <c r="N371" s="241">
        <v>28.2</v>
      </c>
      <c r="O371" s="242">
        <v>34.9</v>
      </c>
      <c r="P371" s="243">
        <v>44.2</v>
      </c>
      <c r="Z371" s="244">
        <f t="shared" si="16"/>
        <v>37.500000000000263</v>
      </c>
      <c r="AA371" s="376">
        <f t="shared" si="17"/>
        <v>1.0049165600305927E-4</v>
      </c>
    </row>
    <row r="372" spans="1:27">
      <c r="A372" s="244">
        <f t="shared" si="15"/>
        <v>37.600000000000264</v>
      </c>
      <c r="B372" s="241">
        <v>9.6999999999999993</v>
      </c>
      <c r="C372" s="242">
        <v>11.6</v>
      </c>
      <c r="D372" s="243">
        <v>14.2</v>
      </c>
      <c r="E372" s="241">
        <v>10.7</v>
      </c>
      <c r="F372" s="242">
        <v>12.9</v>
      </c>
      <c r="G372" s="243">
        <v>16</v>
      </c>
      <c r="H372" s="241">
        <v>12.5</v>
      </c>
      <c r="I372" s="242">
        <v>15.1</v>
      </c>
      <c r="J372" s="243">
        <v>18.899999999999999</v>
      </c>
      <c r="K372" s="241">
        <v>16.399999999999999</v>
      </c>
      <c r="L372" s="242">
        <v>20.100000000000001</v>
      </c>
      <c r="M372" s="243">
        <v>25.3</v>
      </c>
      <c r="N372" s="241">
        <v>28.4</v>
      </c>
      <c r="O372" s="242">
        <v>35.200000000000003</v>
      </c>
      <c r="P372" s="243">
        <v>44.5</v>
      </c>
      <c r="Z372" s="244">
        <f t="shared" si="16"/>
        <v>37.600000000000264</v>
      </c>
      <c r="AA372" s="376">
        <f t="shared" si="17"/>
        <v>9.9758386388249998E-5</v>
      </c>
    </row>
    <row r="373" spans="1:27">
      <c r="A373" s="244">
        <f t="shared" si="15"/>
        <v>37.700000000000266</v>
      </c>
      <c r="B373" s="241">
        <v>9.6999999999999993</v>
      </c>
      <c r="C373" s="242">
        <v>11.6</v>
      </c>
      <c r="D373" s="243">
        <v>14.3</v>
      </c>
      <c r="E373" s="241">
        <v>10.8</v>
      </c>
      <c r="F373" s="242">
        <v>13</v>
      </c>
      <c r="G373" s="243">
        <v>16.100000000000001</v>
      </c>
      <c r="H373" s="241">
        <v>12.6</v>
      </c>
      <c r="I373" s="242">
        <v>15.2</v>
      </c>
      <c r="J373" s="243">
        <v>19</v>
      </c>
      <c r="K373" s="241">
        <v>16.600000000000001</v>
      </c>
      <c r="L373" s="242">
        <v>20.2</v>
      </c>
      <c r="M373" s="243">
        <v>25.4</v>
      </c>
      <c r="N373" s="241">
        <v>28.7</v>
      </c>
      <c r="O373" s="242">
        <v>35.4</v>
      </c>
      <c r="P373" s="243">
        <v>44.8</v>
      </c>
      <c r="Z373" s="244">
        <f t="shared" si="16"/>
        <v>37.700000000000266</v>
      </c>
      <c r="AA373" s="376">
        <f t="shared" si="17"/>
        <v>9.9032393644494019E-5</v>
      </c>
    </row>
    <row r="374" spans="1:27">
      <c r="A374" s="244">
        <f t="shared" si="15"/>
        <v>37.800000000000267</v>
      </c>
      <c r="B374" s="241">
        <v>9.8000000000000007</v>
      </c>
      <c r="C374" s="242">
        <v>11.7</v>
      </c>
      <c r="D374" s="243">
        <v>14.4</v>
      </c>
      <c r="E374" s="241">
        <v>10.9</v>
      </c>
      <c r="F374" s="242">
        <v>13.1</v>
      </c>
      <c r="G374" s="243">
        <v>16.2</v>
      </c>
      <c r="H374" s="241">
        <v>12.7</v>
      </c>
      <c r="I374" s="242">
        <v>15.3</v>
      </c>
      <c r="J374" s="243">
        <v>19.100000000000001</v>
      </c>
      <c r="K374" s="241">
        <v>16.7</v>
      </c>
      <c r="L374" s="242">
        <v>20.399999999999999</v>
      </c>
      <c r="M374" s="243">
        <v>25.6</v>
      </c>
      <c r="N374" s="241">
        <v>28.9</v>
      </c>
      <c r="O374" s="242">
        <v>35.700000000000003</v>
      </c>
      <c r="P374" s="243">
        <v>45</v>
      </c>
      <c r="Z374" s="244">
        <f t="shared" si="16"/>
        <v>37.800000000000267</v>
      </c>
      <c r="AA374" s="376">
        <f t="shared" si="17"/>
        <v>9.8313586541347696E-5</v>
      </c>
    </row>
    <row r="375" spans="1:27">
      <c r="A375" s="244">
        <f t="shared" si="15"/>
        <v>37.900000000000269</v>
      </c>
      <c r="B375" s="241">
        <v>9.9</v>
      </c>
      <c r="C375" s="242">
        <v>11.8</v>
      </c>
      <c r="D375" s="243">
        <v>14.5</v>
      </c>
      <c r="E375" s="241">
        <v>11</v>
      </c>
      <c r="F375" s="242">
        <v>13.1</v>
      </c>
      <c r="G375" s="243">
        <v>16.2</v>
      </c>
      <c r="H375" s="241">
        <v>12.8</v>
      </c>
      <c r="I375" s="242">
        <v>15.4</v>
      </c>
      <c r="J375" s="243">
        <v>19.2</v>
      </c>
      <c r="K375" s="241">
        <v>16.8</v>
      </c>
      <c r="L375" s="242">
        <v>20.5</v>
      </c>
      <c r="M375" s="243">
        <v>25.7</v>
      </c>
      <c r="N375" s="241">
        <v>29.1</v>
      </c>
      <c r="O375" s="242">
        <v>35.9</v>
      </c>
      <c r="P375" s="243">
        <v>45.3</v>
      </c>
      <c r="Z375" s="244">
        <f t="shared" si="16"/>
        <v>37.900000000000269</v>
      </c>
      <c r="AA375" s="376">
        <f t="shared" si="17"/>
        <v>9.7601875229272889E-5</v>
      </c>
    </row>
    <row r="376" spans="1:27">
      <c r="A376" s="244">
        <f t="shared" si="15"/>
        <v>38.00000000000027</v>
      </c>
      <c r="B376" s="241">
        <v>9.9</v>
      </c>
      <c r="C376" s="242">
        <v>11.8</v>
      </c>
      <c r="D376" s="243">
        <v>14.6</v>
      </c>
      <c r="E376" s="241">
        <v>11</v>
      </c>
      <c r="F376" s="242">
        <v>13.2</v>
      </c>
      <c r="G376" s="243">
        <v>16.3</v>
      </c>
      <c r="H376" s="241">
        <v>12.9</v>
      </c>
      <c r="I376" s="242">
        <v>15.5</v>
      </c>
      <c r="J376" s="243">
        <v>19.3</v>
      </c>
      <c r="K376" s="241">
        <v>17</v>
      </c>
      <c r="L376" s="242">
        <v>20.7</v>
      </c>
      <c r="M376" s="243">
        <v>25.9</v>
      </c>
      <c r="N376" s="241">
        <v>29.4</v>
      </c>
      <c r="O376" s="242">
        <v>36.200000000000003</v>
      </c>
      <c r="P376" s="243">
        <v>45.5</v>
      </c>
      <c r="Z376" s="244">
        <f t="shared" si="16"/>
        <v>38.00000000000027</v>
      </c>
      <c r="AA376" s="376">
        <f t="shared" si="17"/>
        <v>9.6897171215164216E-5</v>
      </c>
    </row>
    <row r="377" spans="1:27">
      <c r="A377" s="244">
        <f t="shared" si="15"/>
        <v>38.100000000000271</v>
      </c>
      <c r="B377" s="241">
        <v>10</v>
      </c>
      <c r="C377" s="242">
        <v>11.9</v>
      </c>
      <c r="D377" s="243">
        <v>14.6</v>
      </c>
      <c r="E377" s="241">
        <v>11.1</v>
      </c>
      <c r="F377" s="242">
        <v>13.3</v>
      </c>
      <c r="G377" s="243">
        <v>16.399999999999999</v>
      </c>
      <c r="H377" s="241">
        <v>13</v>
      </c>
      <c r="I377" s="242">
        <v>15.6</v>
      </c>
      <c r="J377" s="243">
        <v>19.399999999999999</v>
      </c>
      <c r="K377" s="241">
        <v>17.100000000000001</v>
      </c>
      <c r="L377" s="242">
        <v>20.8</v>
      </c>
      <c r="M377" s="243">
        <v>26</v>
      </c>
      <c r="N377" s="241">
        <v>29.6</v>
      </c>
      <c r="O377" s="242">
        <v>36.4</v>
      </c>
      <c r="P377" s="243">
        <v>45.8</v>
      </c>
      <c r="Z377" s="244">
        <f t="shared" si="16"/>
        <v>38.100000000000271</v>
      </c>
      <c r="AA377" s="376">
        <f t="shared" si="17"/>
        <v>9.6199387338372807E-5</v>
      </c>
    </row>
    <row r="378" spans="1:27">
      <c r="A378" s="244">
        <f t="shared" si="15"/>
        <v>38.200000000000273</v>
      </c>
      <c r="B378" s="241">
        <v>10.1</v>
      </c>
      <c r="C378" s="242">
        <v>12</v>
      </c>
      <c r="D378" s="243">
        <v>14.7</v>
      </c>
      <c r="E378" s="241">
        <v>11.2</v>
      </c>
      <c r="F378" s="242">
        <v>13.4</v>
      </c>
      <c r="G378" s="243">
        <v>16.5</v>
      </c>
      <c r="H378" s="241">
        <v>13.1</v>
      </c>
      <c r="I378" s="242">
        <v>15.7</v>
      </c>
      <c r="J378" s="243">
        <v>19.5</v>
      </c>
      <c r="K378" s="241">
        <v>17.2</v>
      </c>
      <c r="L378" s="242">
        <v>20.9</v>
      </c>
      <c r="M378" s="243">
        <v>26.2</v>
      </c>
      <c r="N378" s="241">
        <v>29.9</v>
      </c>
      <c r="O378" s="242">
        <v>36.700000000000003</v>
      </c>
      <c r="P378" s="243">
        <v>46.1</v>
      </c>
      <c r="Z378" s="244">
        <f t="shared" si="16"/>
        <v>38.200000000000273</v>
      </c>
      <c r="AA378" s="376">
        <f t="shared" si="17"/>
        <v>9.5508437747215871E-5</v>
      </c>
    </row>
    <row r="379" spans="1:27">
      <c r="A379" s="244">
        <f t="shared" si="15"/>
        <v>38.300000000000274</v>
      </c>
      <c r="B379" s="241">
        <v>10.199999999999999</v>
      </c>
      <c r="C379" s="242">
        <v>12.1</v>
      </c>
      <c r="D379" s="243">
        <v>14.8</v>
      </c>
      <c r="E379" s="241">
        <v>11.3</v>
      </c>
      <c r="F379" s="242">
        <v>13.5</v>
      </c>
      <c r="G379" s="243">
        <v>16.600000000000001</v>
      </c>
      <c r="H379" s="241">
        <v>13.2</v>
      </c>
      <c r="I379" s="242">
        <v>15.8</v>
      </c>
      <c r="J379" s="243">
        <v>19.600000000000001</v>
      </c>
      <c r="K379" s="241">
        <v>17.399999999999999</v>
      </c>
      <c r="L379" s="242">
        <v>21.1</v>
      </c>
      <c r="M379" s="243">
        <v>26.3</v>
      </c>
      <c r="N379" s="241">
        <v>30.1</v>
      </c>
      <c r="O379" s="242">
        <v>36.9</v>
      </c>
      <c r="P379" s="243">
        <v>46.4</v>
      </c>
      <c r="Z379" s="244">
        <f t="shared" si="16"/>
        <v>38.300000000000274</v>
      </c>
      <c r="AA379" s="376">
        <f t="shared" si="17"/>
        <v>9.4824237875960153E-5</v>
      </c>
    </row>
    <row r="380" spans="1:27">
      <c r="A380" s="244">
        <f t="shared" si="15"/>
        <v>38.400000000000276</v>
      </c>
      <c r="B380" s="241">
        <v>10.199999999999999</v>
      </c>
      <c r="C380" s="242">
        <v>12.1</v>
      </c>
      <c r="D380" s="243">
        <v>14.9</v>
      </c>
      <c r="E380" s="241">
        <v>11.4</v>
      </c>
      <c r="F380" s="242">
        <v>13.6</v>
      </c>
      <c r="G380" s="243">
        <v>16.7</v>
      </c>
      <c r="H380" s="241">
        <v>13.3</v>
      </c>
      <c r="I380" s="242">
        <v>16</v>
      </c>
      <c r="J380" s="243">
        <v>19.8</v>
      </c>
      <c r="K380" s="241">
        <v>17.5</v>
      </c>
      <c r="L380" s="242">
        <v>21.2</v>
      </c>
      <c r="M380" s="243">
        <v>26.5</v>
      </c>
      <c r="N380" s="241">
        <v>30.4</v>
      </c>
      <c r="O380" s="242">
        <v>37.200000000000003</v>
      </c>
      <c r="P380" s="243">
        <v>46.7</v>
      </c>
      <c r="Z380" s="244">
        <f t="shared" si="16"/>
        <v>38.400000000000276</v>
      </c>
      <c r="AA380" s="376">
        <f t="shared" si="17"/>
        <v>9.4146704422268647E-5</v>
      </c>
    </row>
    <row r="381" spans="1:27">
      <c r="A381" s="244">
        <f t="shared" si="15"/>
        <v>38.500000000000277</v>
      </c>
      <c r="B381" s="241">
        <v>10.3</v>
      </c>
      <c r="C381" s="242">
        <v>12.2</v>
      </c>
      <c r="D381" s="243">
        <v>15</v>
      </c>
      <c r="E381" s="241">
        <v>11.5</v>
      </c>
      <c r="F381" s="242">
        <v>13.7</v>
      </c>
      <c r="G381" s="243">
        <v>16.8</v>
      </c>
      <c r="H381" s="241">
        <v>13.4</v>
      </c>
      <c r="I381" s="242">
        <v>16.100000000000001</v>
      </c>
      <c r="J381" s="243">
        <v>19.899999999999999</v>
      </c>
      <c r="K381" s="241">
        <v>17.600000000000001</v>
      </c>
      <c r="L381" s="242">
        <v>21.4</v>
      </c>
      <c r="M381" s="243">
        <v>26.7</v>
      </c>
      <c r="N381" s="241">
        <v>30.6</v>
      </c>
      <c r="O381" s="242">
        <v>37.5</v>
      </c>
      <c r="P381" s="243">
        <v>46.9</v>
      </c>
      <c r="Z381" s="244">
        <f t="shared" si="16"/>
        <v>38.500000000000277</v>
      </c>
      <c r="AA381" s="376">
        <f t="shared" si="17"/>
        <v>9.3475755325100949E-5</v>
      </c>
    </row>
    <row r="382" spans="1:27">
      <c r="A382" s="244">
        <f t="shared" si="15"/>
        <v>38.600000000000279</v>
      </c>
      <c r="B382" s="241">
        <v>10.4</v>
      </c>
      <c r="C382" s="242">
        <v>12.3</v>
      </c>
      <c r="D382" s="243">
        <v>15.1</v>
      </c>
      <c r="E382" s="241">
        <v>11.5</v>
      </c>
      <c r="F382" s="242">
        <v>13.8</v>
      </c>
      <c r="G382" s="243">
        <v>16.899999999999999</v>
      </c>
      <c r="H382" s="241">
        <v>13.5</v>
      </c>
      <c r="I382" s="242">
        <v>16.2</v>
      </c>
      <c r="J382" s="243">
        <v>20</v>
      </c>
      <c r="K382" s="241">
        <v>17.8</v>
      </c>
      <c r="L382" s="242">
        <v>21.5</v>
      </c>
      <c r="M382" s="243">
        <v>26.8</v>
      </c>
      <c r="N382" s="241">
        <v>30.9</v>
      </c>
      <c r="O382" s="242">
        <v>37.700000000000003</v>
      </c>
      <c r="P382" s="243">
        <v>47.2</v>
      </c>
      <c r="Z382" s="244">
        <f t="shared" si="16"/>
        <v>38.600000000000279</v>
      </c>
      <c r="AA382" s="376">
        <f t="shared" si="17"/>
        <v>9.2811309743055575E-5</v>
      </c>
    </row>
    <row r="383" spans="1:27">
      <c r="A383" s="244">
        <f t="shared" si="15"/>
        <v>38.70000000000028</v>
      </c>
      <c r="B383" s="241">
        <v>10.4</v>
      </c>
      <c r="C383" s="242">
        <v>12.4</v>
      </c>
      <c r="D383" s="243">
        <v>15.1</v>
      </c>
      <c r="E383" s="241">
        <v>11.6</v>
      </c>
      <c r="F383" s="242">
        <v>13.8</v>
      </c>
      <c r="G383" s="243">
        <v>17</v>
      </c>
      <c r="H383" s="241">
        <v>13.6</v>
      </c>
      <c r="I383" s="242">
        <v>16.3</v>
      </c>
      <c r="J383" s="243">
        <v>20.100000000000001</v>
      </c>
      <c r="K383" s="241">
        <v>17.899999999999999</v>
      </c>
      <c r="L383" s="242">
        <v>21.7</v>
      </c>
      <c r="M383" s="243">
        <v>27</v>
      </c>
      <c r="N383" s="241">
        <v>31.2</v>
      </c>
      <c r="O383" s="242">
        <v>38</v>
      </c>
      <c r="P383" s="243">
        <v>47.5</v>
      </c>
      <c r="Z383" s="244">
        <f t="shared" si="16"/>
        <v>38.70000000000028</v>
      </c>
      <c r="AA383" s="376">
        <f t="shared" si="17"/>
        <v>9.2153288033145522E-5</v>
      </c>
    </row>
    <row r="384" spans="1:27">
      <c r="A384" s="244">
        <f t="shared" si="15"/>
        <v>38.800000000000281</v>
      </c>
      <c r="B384" s="241">
        <v>10.5</v>
      </c>
      <c r="C384" s="242">
        <v>12.5</v>
      </c>
      <c r="D384" s="243">
        <v>15.2</v>
      </c>
      <c r="E384" s="241">
        <v>11.7</v>
      </c>
      <c r="F384" s="242">
        <v>13.9</v>
      </c>
      <c r="G384" s="243">
        <v>17.100000000000001</v>
      </c>
      <c r="H384" s="241">
        <v>13.7</v>
      </c>
      <c r="I384" s="242">
        <v>16.399999999999999</v>
      </c>
      <c r="J384" s="243">
        <v>20.2</v>
      </c>
      <c r="K384" s="241">
        <v>18.100000000000001</v>
      </c>
      <c r="L384" s="242">
        <v>21.8</v>
      </c>
      <c r="M384" s="243">
        <v>27.2</v>
      </c>
      <c r="N384" s="241">
        <v>31.4</v>
      </c>
      <c r="O384" s="242">
        <v>38.299999999999997</v>
      </c>
      <c r="P384" s="243">
        <v>47.8</v>
      </c>
      <c r="Z384" s="244">
        <f t="shared" si="16"/>
        <v>38.800000000000281</v>
      </c>
      <c r="AA384" s="376">
        <f t="shared" si="17"/>
        <v>9.1501611729996577E-5</v>
      </c>
    </row>
    <row r="385" spans="1:27">
      <c r="A385" s="244">
        <f t="shared" si="15"/>
        <v>38.900000000000283</v>
      </c>
      <c r="B385" s="241">
        <v>10.6</v>
      </c>
      <c r="C385" s="242">
        <v>12.5</v>
      </c>
      <c r="D385" s="243">
        <v>15.3</v>
      </c>
      <c r="E385" s="241">
        <v>11.8</v>
      </c>
      <c r="F385" s="242">
        <v>14</v>
      </c>
      <c r="G385" s="243">
        <v>17.2</v>
      </c>
      <c r="H385" s="241">
        <v>13.8</v>
      </c>
      <c r="I385" s="242">
        <v>16.5</v>
      </c>
      <c r="J385" s="243">
        <v>20.399999999999999</v>
      </c>
      <c r="K385" s="241">
        <v>18.2</v>
      </c>
      <c r="L385" s="242">
        <v>22</v>
      </c>
      <c r="M385" s="243">
        <v>27.3</v>
      </c>
      <c r="N385" s="241">
        <v>31.7</v>
      </c>
      <c r="O385" s="242">
        <v>38.6</v>
      </c>
      <c r="P385" s="243">
        <v>48.1</v>
      </c>
      <c r="Z385" s="244">
        <f t="shared" si="16"/>
        <v>38.900000000000283</v>
      </c>
      <c r="AA385" s="376">
        <f t="shared" si="17"/>
        <v>9.0856203525459072E-5</v>
      </c>
    </row>
    <row r="386" spans="1:27">
      <c r="A386" s="244">
        <f t="shared" si="15"/>
        <v>39.000000000000284</v>
      </c>
      <c r="B386" s="241">
        <v>10.7</v>
      </c>
      <c r="C386" s="242">
        <v>12.6</v>
      </c>
      <c r="D386" s="243">
        <v>15.4</v>
      </c>
      <c r="E386" s="241">
        <v>11.9</v>
      </c>
      <c r="F386" s="242">
        <v>14.1</v>
      </c>
      <c r="G386" s="243">
        <v>17.3</v>
      </c>
      <c r="H386" s="241">
        <v>13.9</v>
      </c>
      <c r="I386" s="242">
        <v>16.600000000000001</v>
      </c>
      <c r="J386" s="243">
        <v>20.5</v>
      </c>
      <c r="K386" s="241">
        <v>18.399999999999999</v>
      </c>
      <c r="L386" s="242">
        <v>22.2</v>
      </c>
      <c r="M386" s="243">
        <v>27.5</v>
      </c>
      <c r="N386" s="241">
        <v>32</v>
      </c>
      <c r="O386" s="242">
        <v>38.9</v>
      </c>
      <c r="P386" s="243">
        <v>48.4</v>
      </c>
      <c r="Z386" s="244">
        <f t="shared" si="16"/>
        <v>39.000000000000284</v>
      </c>
      <c r="AA386" s="376">
        <f t="shared" si="17"/>
        <v>9.021698724862426E-5</v>
      </c>
    </row>
    <row r="387" spans="1:27">
      <c r="A387" s="244">
        <f t="shared" si="15"/>
        <v>39.100000000000286</v>
      </c>
      <c r="B387" s="241">
        <v>10.8</v>
      </c>
      <c r="C387" s="242">
        <v>12.7</v>
      </c>
      <c r="D387" s="243">
        <v>15.5</v>
      </c>
      <c r="E387" s="241">
        <v>12</v>
      </c>
      <c r="F387" s="242">
        <v>14.2</v>
      </c>
      <c r="G387" s="243">
        <v>17.399999999999999</v>
      </c>
      <c r="H387" s="241">
        <v>14</v>
      </c>
      <c r="I387" s="242">
        <v>16.7</v>
      </c>
      <c r="J387" s="243">
        <v>20.6</v>
      </c>
      <c r="K387" s="241">
        <v>18.5</v>
      </c>
      <c r="L387" s="242">
        <v>22.3</v>
      </c>
      <c r="M387" s="243">
        <v>27.7</v>
      </c>
      <c r="N387" s="241">
        <v>32.299999999999997</v>
      </c>
      <c r="O387" s="242">
        <v>39.200000000000003</v>
      </c>
      <c r="P387" s="243">
        <v>48.7</v>
      </c>
      <c r="Z387" s="244">
        <f t="shared" si="16"/>
        <v>39.100000000000286</v>
      </c>
      <c r="AA387" s="376">
        <f t="shared" si="17"/>
        <v>8.9583887846235265E-5</v>
      </c>
    </row>
    <row r="388" spans="1:27">
      <c r="A388" s="244">
        <f t="shared" si="15"/>
        <v>39.200000000000287</v>
      </c>
      <c r="B388" s="241">
        <v>10.8</v>
      </c>
      <c r="C388" s="242">
        <v>12.8</v>
      </c>
      <c r="D388" s="243">
        <v>15.6</v>
      </c>
      <c r="E388" s="241">
        <v>12.1</v>
      </c>
      <c r="F388" s="242">
        <v>14.3</v>
      </c>
      <c r="G388" s="243">
        <v>17.5</v>
      </c>
      <c r="H388" s="241">
        <v>14.1</v>
      </c>
      <c r="I388" s="242">
        <v>16.899999999999999</v>
      </c>
      <c r="J388" s="243">
        <v>20.8</v>
      </c>
      <c r="K388" s="241">
        <v>18.7</v>
      </c>
      <c r="L388" s="242">
        <v>22.5</v>
      </c>
      <c r="M388" s="243">
        <v>27.9</v>
      </c>
      <c r="N388" s="241">
        <v>32.6</v>
      </c>
      <c r="O388" s="242">
        <v>39.5</v>
      </c>
      <c r="P388" s="243">
        <v>49.1</v>
      </c>
      <c r="Z388" s="244">
        <f t="shared" si="16"/>
        <v>39.200000000000287</v>
      </c>
      <c r="AA388" s="376">
        <f t="shared" si="17"/>
        <v>8.8956831363485128E-5</v>
      </c>
    </row>
    <row r="389" spans="1:27">
      <c r="A389" s="244">
        <f t="shared" si="15"/>
        <v>39.300000000000288</v>
      </c>
      <c r="B389" s="241">
        <v>10.9</v>
      </c>
      <c r="C389" s="242">
        <v>12.9</v>
      </c>
      <c r="D389" s="243">
        <v>15.7</v>
      </c>
      <c r="E389" s="241">
        <v>12.2</v>
      </c>
      <c r="F389" s="242">
        <v>14.4</v>
      </c>
      <c r="G389" s="243">
        <v>17.600000000000001</v>
      </c>
      <c r="H389" s="241">
        <v>14.2</v>
      </c>
      <c r="I389" s="242">
        <v>17</v>
      </c>
      <c r="J389" s="243">
        <v>20.9</v>
      </c>
      <c r="K389" s="241">
        <v>18.899999999999999</v>
      </c>
      <c r="L389" s="242">
        <v>22.7</v>
      </c>
      <c r="M389" s="243">
        <v>28</v>
      </c>
      <c r="N389" s="241">
        <v>32.799999999999997</v>
      </c>
      <c r="O389" s="242">
        <v>39.799999999999997</v>
      </c>
      <c r="P389" s="243">
        <v>49.4</v>
      </c>
      <c r="Z389" s="244">
        <f t="shared" si="16"/>
        <v>39.300000000000288</v>
      </c>
      <c r="AA389" s="376">
        <f t="shared" si="17"/>
        <v>8.8335744925192115E-5</v>
      </c>
    </row>
    <row r="390" spans="1:27">
      <c r="A390" s="244">
        <f t="shared" si="15"/>
        <v>39.40000000000029</v>
      </c>
      <c r="B390" s="241">
        <v>11</v>
      </c>
      <c r="C390" s="242">
        <v>13</v>
      </c>
      <c r="D390" s="243">
        <v>15.8</v>
      </c>
      <c r="E390" s="241">
        <v>12.3</v>
      </c>
      <c r="F390" s="242">
        <v>14.5</v>
      </c>
      <c r="G390" s="243">
        <v>17.8</v>
      </c>
      <c r="H390" s="241">
        <v>14.4</v>
      </c>
      <c r="I390" s="242">
        <v>17.100000000000001</v>
      </c>
      <c r="J390" s="243">
        <v>21</v>
      </c>
      <c r="K390" s="241">
        <v>19</v>
      </c>
      <c r="L390" s="242">
        <v>22.8</v>
      </c>
      <c r="M390" s="243">
        <v>28.2</v>
      </c>
      <c r="N390" s="241">
        <v>33.1</v>
      </c>
      <c r="O390" s="242">
        <v>40.1</v>
      </c>
      <c r="P390" s="243">
        <v>49.7</v>
      </c>
      <c r="Z390" s="244">
        <f t="shared" si="16"/>
        <v>39.40000000000029</v>
      </c>
      <c r="AA390" s="376">
        <f t="shared" si="17"/>
        <v>8.7720556717344798E-5</v>
      </c>
    </row>
    <row r="391" spans="1:27">
      <c r="A391" s="244">
        <f t="shared" ref="A391:A454" si="18">A390+0.1</f>
        <v>39.500000000000291</v>
      </c>
      <c r="B391" s="241">
        <v>11.1</v>
      </c>
      <c r="C391" s="242">
        <v>13.1</v>
      </c>
      <c r="D391" s="243">
        <v>15.9</v>
      </c>
      <c r="E391" s="241">
        <v>12.4</v>
      </c>
      <c r="F391" s="242">
        <v>14.6</v>
      </c>
      <c r="G391" s="243">
        <v>17.899999999999999</v>
      </c>
      <c r="H391" s="241">
        <v>14.5</v>
      </c>
      <c r="I391" s="242">
        <v>17.2</v>
      </c>
      <c r="J391" s="243">
        <v>21.2</v>
      </c>
      <c r="K391" s="241">
        <v>19.2</v>
      </c>
      <c r="L391" s="242">
        <v>23</v>
      </c>
      <c r="M391" s="243">
        <v>28.4</v>
      </c>
      <c r="N391" s="241">
        <v>33.4</v>
      </c>
      <c r="O391" s="242">
        <v>40.4</v>
      </c>
      <c r="P391" s="243">
        <v>50</v>
      </c>
      <c r="Z391" s="244">
        <f t="shared" ref="Z391:Z454" si="19">Z390+0.1</f>
        <v>39.500000000000291</v>
      </c>
      <c r="AA391" s="376">
        <f t="shared" ref="AA391:AA454" si="20">T_gal(Z391)</f>
        <v>8.7111195969008436E-5</v>
      </c>
    </row>
    <row r="392" spans="1:27">
      <c r="A392" s="244">
        <f t="shared" si="18"/>
        <v>39.600000000000293</v>
      </c>
      <c r="B392" s="241">
        <v>11.2</v>
      </c>
      <c r="C392" s="242">
        <v>13.2</v>
      </c>
      <c r="D392" s="243">
        <v>16</v>
      </c>
      <c r="E392" s="241">
        <v>12.5</v>
      </c>
      <c r="F392" s="242">
        <v>14.7</v>
      </c>
      <c r="G392" s="243">
        <v>18</v>
      </c>
      <c r="H392" s="241">
        <v>14.6</v>
      </c>
      <c r="I392" s="242">
        <v>17.399999999999999</v>
      </c>
      <c r="J392" s="243">
        <v>21.3</v>
      </c>
      <c r="K392" s="241">
        <v>19.399999999999999</v>
      </c>
      <c r="L392" s="242">
        <v>23.2</v>
      </c>
      <c r="M392" s="243">
        <v>28.6</v>
      </c>
      <c r="N392" s="241">
        <v>33.700000000000003</v>
      </c>
      <c r="O392" s="242">
        <v>40.700000000000003</v>
      </c>
      <c r="P392" s="243">
        <v>50.4</v>
      </c>
      <c r="Z392" s="244">
        <f t="shared" si="19"/>
        <v>39.600000000000293</v>
      </c>
      <c r="AA392" s="376">
        <f t="shared" si="20"/>
        <v>8.6507592934584478E-5</v>
      </c>
    </row>
    <row r="393" spans="1:27">
      <c r="A393" s="244">
        <f t="shared" si="18"/>
        <v>39.700000000000294</v>
      </c>
      <c r="B393" s="241">
        <v>11.3</v>
      </c>
      <c r="C393" s="242">
        <v>13.2</v>
      </c>
      <c r="D393" s="243">
        <v>16.100000000000001</v>
      </c>
      <c r="E393" s="241">
        <v>12.6</v>
      </c>
      <c r="F393" s="242">
        <v>14.8</v>
      </c>
      <c r="G393" s="243">
        <v>18.100000000000001</v>
      </c>
      <c r="H393" s="241">
        <v>14.7</v>
      </c>
      <c r="I393" s="242">
        <v>17.5</v>
      </c>
      <c r="J393" s="243">
        <v>21.4</v>
      </c>
      <c r="K393" s="241">
        <v>19.5</v>
      </c>
      <c r="L393" s="242">
        <v>23.4</v>
      </c>
      <c r="M393" s="243">
        <v>28.8</v>
      </c>
      <c r="N393" s="241">
        <v>34</v>
      </c>
      <c r="O393" s="242">
        <v>41</v>
      </c>
      <c r="P393" s="243">
        <v>50.7</v>
      </c>
      <c r="Z393" s="244">
        <f t="shared" si="19"/>
        <v>39.700000000000294</v>
      </c>
      <c r="AA393" s="376">
        <f t="shared" si="20"/>
        <v>8.5909678876415783E-5</v>
      </c>
    </row>
    <row r="394" spans="1:27">
      <c r="A394" s="244">
        <f t="shared" si="18"/>
        <v>39.800000000000296</v>
      </c>
      <c r="B394" s="241">
        <v>11.4</v>
      </c>
      <c r="C394" s="242">
        <v>13.3</v>
      </c>
      <c r="D394" s="243">
        <v>16.2</v>
      </c>
      <c r="E394" s="241">
        <v>12.7</v>
      </c>
      <c r="F394" s="242">
        <v>14.9</v>
      </c>
      <c r="G394" s="243">
        <v>18.2</v>
      </c>
      <c r="H394" s="241">
        <v>14.9</v>
      </c>
      <c r="I394" s="242">
        <v>17.600000000000001</v>
      </c>
      <c r="J394" s="243">
        <v>21.6</v>
      </c>
      <c r="K394" s="241">
        <v>19.7</v>
      </c>
      <c r="L394" s="242">
        <v>23.5</v>
      </c>
      <c r="M394" s="243">
        <v>29</v>
      </c>
      <c r="N394" s="241">
        <v>34.4</v>
      </c>
      <c r="O394" s="242">
        <v>41.3</v>
      </c>
      <c r="P394" s="243">
        <v>51</v>
      </c>
      <c r="Z394" s="244">
        <f t="shared" si="19"/>
        <v>39.800000000000296</v>
      </c>
      <c r="AA394" s="376">
        <f t="shared" si="20"/>
        <v>8.5317386047729696E-5</v>
      </c>
    </row>
    <row r="395" spans="1:27">
      <c r="A395" s="244">
        <f t="shared" si="18"/>
        <v>39.900000000000297</v>
      </c>
      <c r="B395" s="241">
        <v>11.5</v>
      </c>
      <c r="C395" s="242">
        <v>13.4</v>
      </c>
      <c r="D395" s="243">
        <v>16.3</v>
      </c>
      <c r="E395" s="241">
        <v>12.8</v>
      </c>
      <c r="F395" s="242">
        <v>15.1</v>
      </c>
      <c r="G395" s="243">
        <v>18.3</v>
      </c>
      <c r="H395" s="241">
        <v>15</v>
      </c>
      <c r="I395" s="242">
        <v>17.8</v>
      </c>
      <c r="J395" s="243">
        <v>21.7</v>
      </c>
      <c r="K395" s="241">
        <v>19.899999999999999</v>
      </c>
      <c r="L395" s="242">
        <v>23.7</v>
      </c>
      <c r="M395" s="243">
        <v>29.2</v>
      </c>
      <c r="N395" s="241">
        <v>34.700000000000003</v>
      </c>
      <c r="O395" s="242">
        <v>41.7</v>
      </c>
      <c r="P395" s="243">
        <v>51.4</v>
      </c>
      <c r="Z395" s="244">
        <f t="shared" si="19"/>
        <v>39.900000000000297</v>
      </c>
      <c r="AA395" s="376">
        <f t="shared" si="20"/>
        <v>8.4730647675911787E-5</v>
      </c>
    </row>
    <row r="396" spans="1:27">
      <c r="A396" s="244">
        <f t="shared" si="18"/>
        <v>40.000000000000298</v>
      </c>
      <c r="B396" s="241">
        <v>11.5</v>
      </c>
      <c r="C396" s="242">
        <v>13.5</v>
      </c>
      <c r="D396" s="243">
        <v>16.399999999999999</v>
      </c>
      <c r="E396" s="241">
        <v>12.9</v>
      </c>
      <c r="F396" s="242">
        <v>15.2</v>
      </c>
      <c r="G396" s="243">
        <v>18.5</v>
      </c>
      <c r="H396" s="241">
        <v>15.1</v>
      </c>
      <c r="I396" s="242">
        <v>17.899999999999999</v>
      </c>
      <c r="J396" s="243">
        <v>21.9</v>
      </c>
      <c r="K396" s="241">
        <v>20.100000000000001</v>
      </c>
      <c r="L396" s="242">
        <v>23.9</v>
      </c>
      <c r="M396" s="243">
        <v>29.4</v>
      </c>
      <c r="N396" s="241">
        <v>35</v>
      </c>
      <c r="O396" s="242">
        <v>42</v>
      </c>
      <c r="P396" s="243">
        <v>51.7</v>
      </c>
      <c r="Z396" s="244">
        <f t="shared" si="19"/>
        <v>40.000000000000298</v>
      </c>
      <c r="AA396" s="376">
        <f t="shared" si="20"/>
        <v>8.414939794610296E-5</v>
      </c>
    </row>
    <row r="397" spans="1:27">
      <c r="A397" s="244">
        <f t="shared" si="18"/>
        <v>40.1000000000003</v>
      </c>
      <c r="B397" s="241">
        <v>11.6</v>
      </c>
      <c r="C397" s="242">
        <v>13.6</v>
      </c>
      <c r="D397" s="243">
        <v>16.5</v>
      </c>
      <c r="E397" s="241">
        <v>13</v>
      </c>
      <c r="F397" s="242">
        <v>15.3</v>
      </c>
      <c r="G397" s="243">
        <v>18.600000000000001</v>
      </c>
      <c r="H397" s="241">
        <v>15.2</v>
      </c>
      <c r="I397" s="242">
        <v>18</v>
      </c>
      <c r="J397" s="243">
        <v>22</v>
      </c>
      <c r="K397" s="241">
        <v>20.2</v>
      </c>
      <c r="L397" s="242">
        <v>24.1</v>
      </c>
      <c r="M397" s="243">
        <v>29.6</v>
      </c>
      <c r="N397" s="241">
        <v>35.299999999999997</v>
      </c>
      <c r="O397" s="242">
        <v>42.3</v>
      </c>
      <c r="P397" s="243">
        <v>52.1</v>
      </c>
      <c r="Z397" s="244">
        <f t="shared" si="19"/>
        <v>40.1000000000003</v>
      </c>
      <c r="AA397" s="376">
        <f t="shared" si="20"/>
        <v>8.3573571985112954E-5</v>
      </c>
    </row>
    <row r="398" spans="1:27">
      <c r="A398" s="244">
        <f t="shared" si="18"/>
        <v>40.200000000000301</v>
      </c>
      <c r="B398" s="241">
        <v>11.7</v>
      </c>
      <c r="C398" s="242">
        <v>13.7</v>
      </c>
      <c r="D398" s="243">
        <v>16.600000000000001</v>
      </c>
      <c r="E398" s="241">
        <v>13.1</v>
      </c>
      <c r="F398" s="242">
        <v>15.4</v>
      </c>
      <c r="G398" s="243">
        <v>18.7</v>
      </c>
      <c r="H398" s="241">
        <v>15.4</v>
      </c>
      <c r="I398" s="242">
        <v>18.2</v>
      </c>
      <c r="J398" s="243">
        <v>22.2</v>
      </c>
      <c r="K398" s="241">
        <v>20.399999999999999</v>
      </c>
      <c r="L398" s="242">
        <v>24.3</v>
      </c>
      <c r="M398" s="243">
        <v>29.8</v>
      </c>
      <c r="N398" s="241">
        <v>35.700000000000003</v>
      </c>
      <c r="O398" s="242">
        <v>42.7</v>
      </c>
      <c r="P398" s="243">
        <v>52.5</v>
      </c>
      <c r="Z398" s="244">
        <f t="shared" si="19"/>
        <v>40.200000000000301</v>
      </c>
      <c r="AA398" s="376">
        <f t="shared" si="20"/>
        <v>8.3003105845642883E-5</v>
      </c>
    </row>
    <row r="399" spans="1:27">
      <c r="A399" s="244">
        <f t="shared" si="18"/>
        <v>40.300000000000303</v>
      </c>
      <c r="B399" s="241">
        <v>11.8</v>
      </c>
      <c r="C399" s="242">
        <v>13.8</v>
      </c>
      <c r="D399" s="243">
        <v>16.7</v>
      </c>
      <c r="E399" s="241">
        <v>13.2</v>
      </c>
      <c r="F399" s="242">
        <v>15.5</v>
      </c>
      <c r="G399" s="243">
        <v>18.8</v>
      </c>
      <c r="H399" s="241">
        <v>15.5</v>
      </c>
      <c r="I399" s="242">
        <v>18.3</v>
      </c>
      <c r="J399" s="243">
        <v>22.3</v>
      </c>
      <c r="K399" s="241">
        <v>20.6</v>
      </c>
      <c r="L399" s="242">
        <v>24.5</v>
      </c>
      <c r="M399" s="243">
        <v>30</v>
      </c>
      <c r="N399" s="241">
        <v>36</v>
      </c>
      <c r="O399" s="242">
        <v>43</v>
      </c>
      <c r="P399" s="243">
        <v>52.8</v>
      </c>
      <c r="Z399" s="244">
        <f t="shared" si="19"/>
        <v>40.300000000000303</v>
      </c>
      <c r="AA399" s="376">
        <f t="shared" si="20"/>
        <v>8.2437936490811192E-5</v>
      </c>
    </row>
    <row r="400" spans="1:27">
      <c r="A400" s="244">
        <f t="shared" si="18"/>
        <v>40.400000000000304</v>
      </c>
      <c r="B400" s="241">
        <v>11.9</v>
      </c>
      <c r="C400" s="242">
        <v>13.9</v>
      </c>
      <c r="D400" s="243">
        <v>16.8</v>
      </c>
      <c r="E400" s="241">
        <v>13.3</v>
      </c>
      <c r="F400" s="242">
        <v>15.6</v>
      </c>
      <c r="G400" s="243">
        <v>19</v>
      </c>
      <c r="H400" s="241">
        <v>15.6</v>
      </c>
      <c r="I400" s="242">
        <v>18.5</v>
      </c>
      <c r="J400" s="243">
        <v>22.5</v>
      </c>
      <c r="K400" s="241">
        <v>20.8</v>
      </c>
      <c r="L400" s="242">
        <v>24.7</v>
      </c>
      <c r="M400" s="243">
        <v>30.2</v>
      </c>
      <c r="N400" s="241">
        <v>36.299999999999997</v>
      </c>
      <c r="O400" s="242">
        <v>43.4</v>
      </c>
      <c r="P400" s="243">
        <v>53.2</v>
      </c>
      <c r="Z400" s="244">
        <f t="shared" si="19"/>
        <v>40.400000000000304</v>
      </c>
      <c r="AA400" s="376">
        <f t="shared" si="20"/>
        <v>8.1878001778975179E-5</v>
      </c>
    </row>
    <row r="401" spans="1:27">
      <c r="A401" s="244">
        <f t="shared" si="18"/>
        <v>40.500000000000306</v>
      </c>
      <c r="B401" s="241">
        <v>12</v>
      </c>
      <c r="C401" s="242">
        <v>14</v>
      </c>
      <c r="D401" s="243">
        <v>17</v>
      </c>
      <c r="E401" s="241">
        <v>13.4</v>
      </c>
      <c r="F401" s="242">
        <v>15.8</v>
      </c>
      <c r="G401" s="243">
        <v>19.100000000000001</v>
      </c>
      <c r="H401" s="241">
        <v>15.8</v>
      </c>
      <c r="I401" s="242">
        <v>18.600000000000001</v>
      </c>
      <c r="J401" s="243">
        <v>22.6</v>
      </c>
      <c r="K401" s="241">
        <v>21</v>
      </c>
      <c r="L401" s="242">
        <v>24.9</v>
      </c>
      <c r="M401" s="243">
        <v>30.4</v>
      </c>
      <c r="N401" s="241">
        <v>36.700000000000003</v>
      </c>
      <c r="O401" s="242">
        <v>43.7</v>
      </c>
      <c r="P401" s="243">
        <v>53.6</v>
      </c>
      <c r="Z401" s="244">
        <f t="shared" si="19"/>
        <v>40.500000000000306</v>
      </c>
      <c r="AA401" s="376">
        <f t="shared" si="20"/>
        <v>8.1323240448842783E-5</v>
      </c>
    </row>
    <row r="402" spans="1:27">
      <c r="A402" s="244">
        <f t="shared" si="18"/>
        <v>40.600000000000307</v>
      </c>
      <c r="B402" s="241">
        <v>12.1</v>
      </c>
      <c r="C402" s="242">
        <v>14.2</v>
      </c>
      <c r="D402" s="243">
        <v>17.100000000000001</v>
      </c>
      <c r="E402" s="241">
        <v>13.6</v>
      </c>
      <c r="F402" s="242">
        <v>15.9</v>
      </c>
      <c r="G402" s="243">
        <v>19.2</v>
      </c>
      <c r="H402" s="241">
        <v>15.9</v>
      </c>
      <c r="I402" s="242">
        <v>18.7</v>
      </c>
      <c r="J402" s="243">
        <v>22.8</v>
      </c>
      <c r="K402" s="241">
        <v>21.2</v>
      </c>
      <c r="L402" s="242">
        <v>25.1</v>
      </c>
      <c r="M402" s="243">
        <v>30.7</v>
      </c>
      <c r="N402" s="241">
        <v>37</v>
      </c>
      <c r="O402" s="242">
        <v>44.1</v>
      </c>
      <c r="P402" s="243">
        <v>54</v>
      </c>
      <c r="Z402" s="244">
        <f t="shared" si="19"/>
        <v>40.600000000000307</v>
      </c>
      <c r="AA402" s="376">
        <f t="shared" si="20"/>
        <v>8.0773592104867761E-5</v>
      </c>
    </row>
    <row r="403" spans="1:27">
      <c r="A403" s="244">
        <f t="shared" si="18"/>
        <v>40.700000000000308</v>
      </c>
      <c r="B403" s="241">
        <v>12.2</v>
      </c>
      <c r="C403" s="242">
        <v>14.3</v>
      </c>
      <c r="D403" s="243">
        <v>17.2</v>
      </c>
      <c r="E403" s="241">
        <v>13.7</v>
      </c>
      <c r="F403" s="242">
        <v>16</v>
      </c>
      <c r="G403" s="243">
        <v>19.399999999999999</v>
      </c>
      <c r="H403" s="241">
        <v>16.100000000000001</v>
      </c>
      <c r="I403" s="242">
        <v>18.899999999999999</v>
      </c>
      <c r="J403" s="243">
        <v>23</v>
      </c>
      <c r="K403" s="241">
        <v>21.4</v>
      </c>
      <c r="L403" s="242">
        <v>25.3</v>
      </c>
      <c r="M403" s="243">
        <v>30.9</v>
      </c>
      <c r="N403" s="241">
        <v>37.4</v>
      </c>
      <c r="O403" s="242">
        <v>44.5</v>
      </c>
      <c r="P403" s="243">
        <v>54.4</v>
      </c>
      <c r="Z403" s="244">
        <f t="shared" si="19"/>
        <v>40.700000000000308</v>
      </c>
      <c r="AA403" s="376">
        <f t="shared" si="20"/>
        <v>8.0228997202922347E-5</v>
      </c>
    </row>
    <row r="404" spans="1:27">
      <c r="A404" s="244">
        <f t="shared" si="18"/>
        <v>40.80000000000031</v>
      </c>
      <c r="B404" s="241">
        <v>12.3</v>
      </c>
      <c r="C404" s="242">
        <v>14.4</v>
      </c>
      <c r="D404" s="243">
        <v>17.3</v>
      </c>
      <c r="E404" s="241">
        <v>13.8</v>
      </c>
      <c r="F404" s="242">
        <v>16.100000000000001</v>
      </c>
      <c r="G404" s="243">
        <v>19.5</v>
      </c>
      <c r="H404" s="241">
        <v>16.2</v>
      </c>
      <c r="I404" s="242">
        <v>19.100000000000001</v>
      </c>
      <c r="J404" s="243">
        <v>23.1</v>
      </c>
      <c r="K404" s="241">
        <v>21.6</v>
      </c>
      <c r="L404" s="242">
        <v>25.5</v>
      </c>
      <c r="M404" s="243">
        <v>31.1</v>
      </c>
      <c r="N404" s="241">
        <v>37.799999999999997</v>
      </c>
      <c r="O404" s="242">
        <v>44.8</v>
      </c>
      <c r="P404" s="243">
        <v>54.8</v>
      </c>
      <c r="Z404" s="244">
        <f t="shared" si="19"/>
        <v>40.80000000000031</v>
      </c>
      <c r="AA404" s="376">
        <f t="shared" si="20"/>
        <v>7.9689397036241492E-5</v>
      </c>
    </row>
    <row r="405" spans="1:27">
      <c r="A405" s="244">
        <f t="shared" si="18"/>
        <v>40.900000000000311</v>
      </c>
      <c r="B405" s="241">
        <v>12.5</v>
      </c>
      <c r="C405" s="242">
        <v>14.5</v>
      </c>
      <c r="D405" s="243">
        <v>17.399999999999999</v>
      </c>
      <c r="E405" s="241">
        <v>13.9</v>
      </c>
      <c r="F405" s="242">
        <v>16.3</v>
      </c>
      <c r="G405" s="243">
        <v>19.600000000000001</v>
      </c>
      <c r="H405" s="241">
        <v>16.399999999999999</v>
      </c>
      <c r="I405" s="242">
        <v>19.2</v>
      </c>
      <c r="J405" s="243">
        <v>23.3</v>
      </c>
      <c r="K405" s="241">
        <v>21.8</v>
      </c>
      <c r="L405" s="242">
        <v>25.7</v>
      </c>
      <c r="M405" s="243">
        <v>31.4</v>
      </c>
      <c r="N405" s="241">
        <v>38.1</v>
      </c>
      <c r="O405" s="242">
        <v>45.2</v>
      </c>
      <c r="P405" s="243">
        <v>55.2</v>
      </c>
      <c r="Z405" s="244">
        <f t="shared" si="19"/>
        <v>40.900000000000311</v>
      </c>
      <c r="AA405" s="376">
        <f t="shared" si="20"/>
        <v>7.9154733721633046E-5</v>
      </c>
    </row>
    <row r="406" spans="1:27">
      <c r="A406" s="244">
        <f t="shared" si="18"/>
        <v>41.000000000000313</v>
      </c>
      <c r="B406" s="241">
        <v>12.6</v>
      </c>
      <c r="C406" s="242">
        <v>14.6</v>
      </c>
      <c r="D406" s="243">
        <v>17.600000000000001</v>
      </c>
      <c r="E406" s="241">
        <v>14.1</v>
      </c>
      <c r="F406" s="242">
        <v>16.399999999999999</v>
      </c>
      <c r="G406" s="243">
        <v>19.8</v>
      </c>
      <c r="H406" s="241">
        <v>16.5</v>
      </c>
      <c r="I406" s="242">
        <v>19.399999999999999</v>
      </c>
      <c r="J406" s="243">
        <v>23.5</v>
      </c>
      <c r="K406" s="241">
        <v>22</v>
      </c>
      <c r="L406" s="242">
        <v>25.9</v>
      </c>
      <c r="M406" s="243">
        <v>31.6</v>
      </c>
      <c r="N406" s="241">
        <v>38.5</v>
      </c>
      <c r="O406" s="242">
        <v>45.6</v>
      </c>
      <c r="P406" s="243">
        <v>55.6</v>
      </c>
      <c r="Z406" s="244">
        <f t="shared" si="19"/>
        <v>41.000000000000313</v>
      </c>
      <c r="AA406" s="376">
        <f t="shared" si="20"/>
        <v>7.8624950185947784E-5</v>
      </c>
    </row>
    <row r="407" spans="1:27">
      <c r="A407" s="244">
        <f t="shared" si="18"/>
        <v>41.100000000000314</v>
      </c>
      <c r="B407" s="241">
        <v>12.7</v>
      </c>
      <c r="C407" s="242">
        <v>14.7</v>
      </c>
      <c r="D407" s="243">
        <v>17.7</v>
      </c>
      <c r="E407" s="241">
        <v>14.2</v>
      </c>
      <c r="F407" s="242">
        <v>16.5</v>
      </c>
      <c r="G407" s="243">
        <v>19.899999999999999</v>
      </c>
      <c r="H407" s="241">
        <v>16.7</v>
      </c>
      <c r="I407" s="242">
        <v>19.5</v>
      </c>
      <c r="J407" s="243">
        <v>23.6</v>
      </c>
      <c r="K407" s="241">
        <v>22.2</v>
      </c>
      <c r="L407" s="242">
        <v>26.2</v>
      </c>
      <c r="M407" s="243">
        <v>31.8</v>
      </c>
      <c r="N407" s="241">
        <v>38.9</v>
      </c>
      <c r="O407" s="242">
        <v>46</v>
      </c>
      <c r="P407" s="243">
        <v>56</v>
      </c>
      <c r="Z407" s="244">
        <f t="shared" si="19"/>
        <v>41.100000000000314</v>
      </c>
      <c r="AA407" s="376">
        <f t="shared" si="20"/>
        <v>7.8099990152804161E-5</v>
      </c>
    </row>
    <row r="408" spans="1:27">
      <c r="A408" s="244">
        <f t="shared" si="18"/>
        <v>41.200000000000315</v>
      </c>
      <c r="B408" s="241">
        <v>12.8</v>
      </c>
      <c r="C408" s="242">
        <v>14.8</v>
      </c>
      <c r="D408" s="243">
        <v>17.8</v>
      </c>
      <c r="E408" s="241">
        <v>14.3</v>
      </c>
      <c r="F408" s="242">
        <v>16.7</v>
      </c>
      <c r="G408" s="243">
        <v>20.100000000000001</v>
      </c>
      <c r="H408" s="241">
        <v>16.8</v>
      </c>
      <c r="I408" s="242">
        <v>19.7</v>
      </c>
      <c r="J408" s="243">
        <v>23.8</v>
      </c>
      <c r="K408" s="241">
        <v>22.4</v>
      </c>
      <c r="L408" s="242">
        <v>26.4</v>
      </c>
      <c r="M408" s="243">
        <v>32.1</v>
      </c>
      <c r="N408" s="241">
        <v>39.299999999999997</v>
      </c>
      <c r="O408" s="242">
        <v>46.4</v>
      </c>
      <c r="P408" s="243">
        <v>56.4</v>
      </c>
      <c r="Z408" s="244">
        <f t="shared" si="19"/>
        <v>41.200000000000315</v>
      </c>
      <c r="AA408" s="376">
        <f t="shared" si="20"/>
        <v>7.7579798129562261E-5</v>
      </c>
    </row>
    <row r="409" spans="1:27">
      <c r="A409" s="244">
        <f t="shared" si="18"/>
        <v>41.300000000000317</v>
      </c>
      <c r="B409" s="241">
        <v>12.9</v>
      </c>
      <c r="C409" s="242">
        <v>15</v>
      </c>
      <c r="D409" s="243">
        <v>17.899999999999999</v>
      </c>
      <c r="E409" s="241">
        <v>14.4</v>
      </c>
      <c r="F409" s="242">
        <v>16.8</v>
      </c>
      <c r="G409" s="243">
        <v>20.2</v>
      </c>
      <c r="H409" s="241">
        <v>17</v>
      </c>
      <c r="I409" s="242">
        <v>19.899999999999999</v>
      </c>
      <c r="J409" s="243">
        <v>24</v>
      </c>
      <c r="K409" s="241">
        <v>22.7</v>
      </c>
      <c r="L409" s="242">
        <v>26.6</v>
      </c>
      <c r="M409" s="243">
        <v>32.299999999999997</v>
      </c>
      <c r="N409" s="241">
        <v>39.700000000000003</v>
      </c>
      <c r="O409" s="242">
        <v>46.8</v>
      </c>
      <c r="P409" s="243">
        <v>56.8</v>
      </c>
      <c r="Z409" s="244">
        <f t="shared" si="19"/>
        <v>41.300000000000317</v>
      </c>
      <c r="AA409" s="376">
        <f t="shared" si="20"/>
        <v>7.7064319394541542E-5</v>
      </c>
    </row>
    <row r="410" spans="1:27">
      <c r="A410" s="244">
        <f t="shared" si="18"/>
        <v>41.400000000000318</v>
      </c>
      <c r="B410" s="241">
        <v>13</v>
      </c>
      <c r="C410" s="242">
        <v>15.1</v>
      </c>
      <c r="D410" s="243">
        <v>18.100000000000001</v>
      </c>
      <c r="E410" s="241">
        <v>14.6</v>
      </c>
      <c r="F410" s="242">
        <v>16.899999999999999</v>
      </c>
      <c r="G410" s="243">
        <v>20.399999999999999</v>
      </c>
      <c r="H410" s="241">
        <v>17.2</v>
      </c>
      <c r="I410" s="242">
        <v>20</v>
      </c>
      <c r="J410" s="243">
        <v>24.2</v>
      </c>
      <c r="K410" s="241">
        <v>22.9</v>
      </c>
      <c r="L410" s="242">
        <v>26.9</v>
      </c>
      <c r="M410" s="243">
        <v>32.6</v>
      </c>
      <c r="N410" s="241">
        <v>40.1</v>
      </c>
      <c r="O410" s="242">
        <v>47.2</v>
      </c>
      <c r="P410" s="243">
        <v>57.3</v>
      </c>
      <c r="Z410" s="244">
        <f t="shared" si="19"/>
        <v>41.400000000000318</v>
      </c>
      <c r="AA410" s="376">
        <f t="shared" si="20"/>
        <v>7.6553499984477537E-5</v>
      </c>
    </row>
    <row r="411" spans="1:27">
      <c r="A411" s="244">
        <f t="shared" si="18"/>
        <v>41.50000000000032</v>
      </c>
      <c r="B411" s="241">
        <v>13.1</v>
      </c>
      <c r="C411" s="242">
        <v>15.2</v>
      </c>
      <c r="D411" s="243">
        <v>18.2</v>
      </c>
      <c r="E411" s="241">
        <v>14.7</v>
      </c>
      <c r="F411" s="242">
        <v>17.100000000000001</v>
      </c>
      <c r="G411" s="243">
        <v>20.5</v>
      </c>
      <c r="H411" s="241">
        <v>17.3</v>
      </c>
      <c r="I411" s="242">
        <v>20.2</v>
      </c>
      <c r="J411" s="243">
        <v>24.4</v>
      </c>
      <c r="K411" s="241">
        <v>23.1</v>
      </c>
      <c r="L411" s="242">
        <v>27.1</v>
      </c>
      <c r="M411" s="243">
        <v>32.799999999999997</v>
      </c>
      <c r="N411" s="241">
        <v>40.5</v>
      </c>
      <c r="O411" s="242">
        <v>47.6</v>
      </c>
      <c r="P411" s="243">
        <v>57.7</v>
      </c>
      <c r="Z411" s="244">
        <f t="shared" si="19"/>
        <v>41.50000000000032</v>
      </c>
      <c r="AA411" s="376">
        <f t="shared" si="20"/>
        <v>7.6047286682212162E-5</v>
      </c>
    </row>
    <row r="412" spans="1:27">
      <c r="A412" s="244">
        <f t="shared" si="18"/>
        <v>41.600000000000321</v>
      </c>
      <c r="B412" s="241">
        <v>13.3</v>
      </c>
      <c r="C412" s="242">
        <v>15.3</v>
      </c>
      <c r="D412" s="243">
        <v>18.3</v>
      </c>
      <c r="E412" s="241">
        <v>14.9</v>
      </c>
      <c r="F412" s="242">
        <v>17.2</v>
      </c>
      <c r="G412" s="243">
        <v>20.7</v>
      </c>
      <c r="H412" s="241">
        <v>17.5</v>
      </c>
      <c r="I412" s="242">
        <v>20.399999999999999</v>
      </c>
      <c r="J412" s="243">
        <v>24.6</v>
      </c>
      <c r="K412" s="241">
        <v>23.4</v>
      </c>
      <c r="L412" s="242">
        <v>27.3</v>
      </c>
      <c r="M412" s="243">
        <v>33.1</v>
      </c>
      <c r="N412" s="241">
        <v>40.9</v>
      </c>
      <c r="O412" s="242">
        <v>48.1</v>
      </c>
      <c r="P412" s="243">
        <v>58.1</v>
      </c>
      <c r="Z412" s="244">
        <f t="shared" si="19"/>
        <v>41.600000000000321</v>
      </c>
      <c r="AA412" s="376">
        <f t="shared" si="20"/>
        <v>7.5545627004612844E-5</v>
      </c>
    </row>
    <row r="413" spans="1:27">
      <c r="A413" s="244">
        <f t="shared" si="18"/>
        <v>41.700000000000323</v>
      </c>
      <c r="B413" s="241">
        <v>13.4</v>
      </c>
      <c r="C413" s="242">
        <v>15.5</v>
      </c>
      <c r="D413" s="243">
        <v>18.5</v>
      </c>
      <c r="E413" s="241">
        <v>15</v>
      </c>
      <c r="F413" s="242">
        <v>17.399999999999999</v>
      </c>
      <c r="G413" s="243">
        <v>20.8</v>
      </c>
      <c r="H413" s="241">
        <v>17.7</v>
      </c>
      <c r="I413" s="242">
        <v>20.6</v>
      </c>
      <c r="J413" s="243">
        <v>24.8</v>
      </c>
      <c r="K413" s="241">
        <v>23.6</v>
      </c>
      <c r="L413" s="242">
        <v>27.6</v>
      </c>
      <c r="M413" s="243">
        <v>33.299999999999997</v>
      </c>
      <c r="N413" s="241">
        <v>41.3</v>
      </c>
      <c r="O413" s="242">
        <v>48.5</v>
      </c>
      <c r="P413" s="243">
        <v>58.6</v>
      </c>
      <c r="Z413" s="244">
        <f t="shared" si="19"/>
        <v>41.700000000000323</v>
      </c>
      <c r="AA413" s="376">
        <f t="shared" si="20"/>
        <v>7.504846919071596E-5</v>
      </c>
    </row>
    <row r="414" spans="1:27">
      <c r="A414" s="244">
        <f t="shared" si="18"/>
        <v>41.800000000000324</v>
      </c>
      <c r="B414" s="241">
        <v>13.5</v>
      </c>
      <c r="C414" s="242">
        <v>15.6</v>
      </c>
      <c r="D414" s="243">
        <v>18.600000000000001</v>
      </c>
      <c r="E414" s="241">
        <v>15.1</v>
      </c>
      <c r="F414" s="242">
        <v>17.5</v>
      </c>
      <c r="G414" s="243">
        <v>21</v>
      </c>
      <c r="H414" s="241">
        <v>17.8</v>
      </c>
      <c r="I414" s="242">
        <v>20.7</v>
      </c>
      <c r="J414" s="243">
        <v>24.9</v>
      </c>
      <c r="K414" s="241">
        <v>23.8</v>
      </c>
      <c r="L414" s="242">
        <v>27.8</v>
      </c>
      <c r="M414" s="243">
        <v>33.6</v>
      </c>
      <c r="N414" s="241">
        <v>41.7</v>
      </c>
      <c r="O414" s="242">
        <v>48.9</v>
      </c>
      <c r="P414" s="243">
        <v>59.1</v>
      </c>
      <c r="Z414" s="244">
        <f t="shared" si="19"/>
        <v>41.800000000000324</v>
      </c>
      <c r="AA414" s="376">
        <f t="shared" si="20"/>
        <v>7.4555762190089194E-5</v>
      </c>
    </row>
    <row r="415" spans="1:27">
      <c r="A415" s="244">
        <f t="shared" si="18"/>
        <v>41.900000000000325</v>
      </c>
      <c r="B415" s="241">
        <v>13.6</v>
      </c>
      <c r="C415" s="242">
        <v>15.7</v>
      </c>
      <c r="D415" s="243">
        <v>18.8</v>
      </c>
      <c r="E415" s="241">
        <v>15.3</v>
      </c>
      <c r="F415" s="242">
        <v>17.7</v>
      </c>
      <c r="G415" s="243">
        <v>21.2</v>
      </c>
      <c r="H415" s="241">
        <v>18</v>
      </c>
      <c r="I415" s="242">
        <v>20.9</v>
      </c>
      <c r="J415" s="243">
        <v>25.1</v>
      </c>
      <c r="K415" s="241">
        <v>24.1</v>
      </c>
      <c r="L415" s="242">
        <v>28.1</v>
      </c>
      <c r="M415" s="243">
        <v>33.9</v>
      </c>
      <c r="N415" s="241">
        <v>42.2</v>
      </c>
      <c r="O415" s="242">
        <v>49.4</v>
      </c>
      <c r="P415" s="243">
        <v>59.5</v>
      </c>
      <c r="Z415" s="244">
        <f t="shared" si="19"/>
        <v>41.900000000000325</v>
      </c>
      <c r="AA415" s="376">
        <f t="shared" si="20"/>
        <v>7.4067455651409244E-5</v>
      </c>
    </row>
    <row r="416" spans="1:27">
      <c r="A416" s="244">
        <f t="shared" si="18"/>
        <v>42.000000000000327</v>
      </c>
      <c r="B416" s="241">
        <v>13.8</v>
      </c>
      <c r="C416" s="242">
        <v>15.9</v>
      </c>
      <c r="D416" s="243">
        <v>18.899999999999999</v>
      </c>
      <c r="E416" s="241">
        <v>15.4</v>
      </c>
      <c r="F416" s="242">
        <v>17.8</v>
      </c>
      <c r="G416" s="243">
        <v>21.3</v>
      </c>
      <c r="H416" s="241">
        <v>18.2</v>
      </c>
      <c r="I416" s="242">
        <v>21.1</v>
      </c>
      <c r="J416" s="243">
        <v>25.3</v>
      </c>
      <c r="K416" s="241">
        <v>24.3</v>
      </c>
      <c r="L416" s="242">
        <v>28.3</v>
      </c>
      <c r="M416" s="243">
        <v>34.1</v>
      </c>
      <c r="N416" s="241">
        <v>42.6</v>
      </c>
      <c r="O416" s="242">
        <v>49.8</v>
      </c>
      <c r="P416" s="243">
        <v>60</v>
      </c>
      <c r="Z416" s="244">
        <f t="shared" si="19"/>
        <v>42.000000000000327</v>
      </c>
      <c r="AA416" s="376">
        <f t="shared" si="20"/>
        <v>7.3583499911249336E-5</v>
      </c>
    </row>
    <row r="417" spans="1:27">
      <c r="A417" s="244">
        <f t="shared" si="18"/>
        <v>42.100000000000328</v>
      </c>
      <c r="B417" s="241">
        <v>13.9</v>
      </c>
      <c r="C417" s="242">
        <v>16</v>
      </c>
      <c r="D417" s="243">
        <v>19.100000000000001</v>
      </c>
      <c r="E417" s="241">
        <v>15.6</v>
      </c>
      <c r="F417" s="242">
        <v>18</v>
      </c>
      <c r="G417" s="243">
        <v>21.5</v>
      </c>
      <c r="H417" s="241">
        <v>18.399999999999999</v>
      </c>
      <c r="I417" s="242">
        <v>21.3</v>
      </c>
      <c r="J417" s="243">
        <v>25.6</v>
      </c>
      <c r="K417" s="241">
        <v>24.6</v>
      </c>
      <c r="L417" s="242">
        <v>28.6</v>
      </c>
      <c r="M417" s="243">
        <v>34.4</v>
      </c>
      <c r="N417" s="241">
        <v>43.1</v>
      </c>
      <c r="O417" s="242">
        <v>50.3</v>
      </c>
      <c r="P417" s="243">
        <v>60.5</v>
      </c>
      <c r="Z417" s="244">
        <f t="shared" si="19"/>
        <v>42.100000000000328</v>
      </c>
      <c r="AA417" s="376">
        <f t="shared" si="20"/>
        <v>7.3103845983072977E-5</v>
      </c>
    </row>
    <row r="418" spans="1:27">
      <c r="A418" s="244">
        <f t="shared" si="18"/>
        <v>42.20000000000033</v>
      </c>
      <c r="B418" s="241">
        <v>14</v>
      </c>
      <c r="C418" s="242">
        <v>16.100000000000001</v>
      </c>
      <c r="D418" s="243">
        <v>19.2</v>
      </c>
      <c r="E418" s="241">
        <v>15.7</v>
      </c>
      <c r="F418" s="242">
        <v>18.2</v>
      </c>
      <c r="G418" s="243">
        <v>21.7</v>
      </c>
      <c r="H418" s="241">
        <v>18.600000000000001</v>
      </c>
      <c r="I418" s="242">
        <v>21.5</v>
      </c>
      <c r="J418" s="243">
        <v>25.8</v>
      </c>
      <c r="K418" s="241">
        <v>24.8</v>
      </c>
      <c r="L418" s="242">
        <v>28.9</v>
      </c>
      <c r="M418" s="243">
        <v>34.700000000000003</v>
      </c>
      <c r="N418" s="241">
        <v>43.5</v>
      </c>
      <c r="O418" s="242">
        <v>50.8</v>
      </c>
      <c r="P418" s="243">
        <v>61</v>
      </c>
      <c r="Z418" s="244">
        <f t="shared" si="19"/>
        <v>42.20000000000033</v>
      </c>
      <c r="AA418" s="376">
        <f t="shared" si="20"/>
        <v>7.2628445546429635E-5</v>
      </c>
    </row>
    <row r="419" spans="1:27">
      <c r="A419" s="244">
        <f t="shared" si="18"/>
        <v>42.300000000000331</v>
      </c>
      <c r="B419" s="241">
        <v>14.2</v>
      </c>
      <c r="C419" s="242">
        <v>16.3</v>
      </c>
      <c r="D419" s="243">
        <v>19.399999999999999</v>
      </c>
      <c r="E419" s="241">
        <v>15.9</v>
      </c>
      <c r="F419" s="242">
        <v>18.3</v>
      </c>
      <c r="G419" s="243">
        <v>21.9</v>
      </c>
      <c r="H419" s="241">
        <v>18.8</v>
      </c>
      <c r="I419" s="242">
        <v>21.7</v>
      </c>
      <c r="J419" s="243">
        <v>26</v>
      </c>
      <c r="K419" s="241">
        <v>25.1</v>
      </c>
      <c r="L419" s="242">
        <v>29.2</v>
      </c>
      <c r="M419" s="243">
        <v>35</v>
      </c>
      <c r="N419" s="241">
        <v>44</v>
      </c>
      <c r="O419" s="242">
        <v>51.2</v>
      </c>
      <c r="P419" s="243">
        <v>61.5</v>
      </c>
      <c r="Z419" s="244">
        <f t="shared" si="19"/>
        <v>42.300000000000331</v>
      </c>
      <c r="AA419" s="376">
        <f t="shared" si="20"/>
        <v>7.2157250936347351E-5</v>
      </c>
    </row>
    <row r="420" spans="1:27">
      <c r="A420" s="244">
        <f t="shared" si="18"/>
        <v>42.400000000000333</v>
      </c>
      <c r="B420" s="241">
        <v>14.3</v>
      </c>
      <c r="C420" s="242">
        <v>16.399999999999999</v>
      </c>
      <c r="D420" s="243">
        <v>19.5</v>
      </c>
      <c r="E420" s="241">
        <v>16.100000000000001</v>
      </c>
      <c r="F420" s="242">
        <v>18.5</v>
      </c>
      <c r="G420" s="243">
        <v>22</v>
      </c>
      <c r="H420" s="241">
        <v>19</v>
      </c>
      <c r="I420" s="242">
        <v>21.9</v>
      </c>
      <c r="J420" s="243">
        <v>26.2</v>
      </c>
      <c r="K420" s="241">
        <v>25.4</v>
      </c>
      <c r="L420" s="242">
        <v>29.4</v>
      </c>
      <c r="M420" s="243">
        <v>35.299999999999997</v>
      </c>
      <c r="N420" s="241">
        <v>44.5</v>
      </c>
      <c r="O420" s="242">
        <v>51.7</v>
      </c>
      <c r="P420" s="243">
        <v>62</v>
      </c>
      <c r="Z420" s="244">
        <f t="shared" si="19"/>
        <v>42.400000000000333</v>
      </c>
      <c r="AA420" s="376">
        <f t="shared" si="20"/>
        <v>7.1690215132919562E-5</v>
      </c>
    </row>
    <row r="421" spans="1:27">
      <c r="A421" s="244">
        <f t="shared" si="18"/>
        <v>42.500000000000334</v>
      </c>
      <c r="B421" s="241">
        <v>14.5</v>
      </c>
      <c r="C421" s="242">
        <v>16.600000000000001</v>
      </c>
      <c r="D421" s="243">
        <v>19.7</v>
      </c>
      <c r="E421" s="241">
        <v>16.2</v>
      </c>
      <c r="F421" s="242">
        <v>18.7</v>
      </c>
      <c r="G421" s="243">
        <v>22.2</v>
      </c>
      <c r="H421" s="241">
        <v>19.2</v>
      </c>
      <c r="I421" s="242">
        <v>22.1</v>
      </c>
      <c r="J421" s="243">
        <v>26.4</v>
      </c>
      <c r="K421" s="241">
        <v>25.6</v>
      </c>
      <c r="L421" s="242">
        <v>29.7</v>
      </c>
      <c r="M421" s="243">
        <v>35.6</v>
      </c>
      <c r="N421" s="241">
        <v>44.9</v>
      </c>
      <c r="O421" s="242">
        <v>52.2</v>
      </c>
      <c r="P421" s="243">
        <v>62.5</v>
      </c>
      <c r="Z421" s="244">
        <f t="shared" si="19"/>
        <v>42.500000000000334</v>
      </c>
      <c r="AA421" s="376">
        <f t="shared" si="20"/>
        <v>7.1227291751080652E-5</v>
      </c>
    </row>
    <row r="422" spans="1:27">
      <c r="A422" s="244">
        <f t="shared" si="18"/>
        <v>42.600000000000335</v>
      </c>
      <c r="B422" s="241">
        <v>14.6</v>
      </c>
      <c r="C422" s="242">
        <v>16.7</v>
      </c>
      <c r="D422" s="243">
        <v>19.899999999999999</v>
      </c>
      <c r="E422" s="241">
        <v>16.399999999999999</v>
      </c>
      <c r="F422" s="242">
        <v>18.8</v>
      </c>
      <c r="G422" s="243">
        <v>22.4</v>
      </c>
      <c r="H422" s="241">
        <v>19.399999999999999</v>
      </c>
      <c r="I422" s="242">
        <v>22.3</v>
      </c>
      <c r="J422" s="243">
        <v>26.6</v>
      </c>
      <c r="K422" s="241">
        <v>25.9</v>
      </c>
      <c r="L422" s="242">
        <v>30</v>
      </c>
      <c r="M422" s="243">
        <v>35.9</v>
      </c>
      <c r="N422" s="241">
        <v>45.4</v>
      </c>
      <c r="O422" s="242">
        <v>52.7</v>
      </c>
      <c r="P422" s="243">
        <v>63</v>
      </c>
      <c r="Z422" s="244">
        <f t="shared" si="19"/>
        <v>42.600000000000335</v>
      </c>
      <c r="AA422" s="376">
        <f t="shared" si="20"/>
        <v>7.0768435030567949E-5</v>
      </c>
    </row>
    <row r="423" spans="1:27">
      <c r="A423" s="244">
        <f t="shared" si="18"/>
        <v>42.700000000000337</v>
      </c>
      <c r="B423" s="241">
        <v>14.8</v>
      </c>
      <c r="C423" s="242">
        <v>16.899999999999999</v>
      </c>
      <c r="D423" s="243">
        <v>20</v>
      </c>
      <c r="E423" s="241">
        <v>16.600000000000001</v>
      </c>
      <c r="F423" s="242">
        <v>19</v>
      </c>
      <c r="G423" s="243">
        <v>22.6</v>
      </c>
      <c r="H423" s="241">
        <v>19.600000000000001</v>
      </c>
      <c r="I423" s="242">
        <v>22.5</v>
      </c>
      <c r="J423" s="243">
        <v>26.9</v>
      </c>
      <c r="K423" s="241">
        <v>26.2</v>
      </c>
      <c r="L423" s="242">
        <v>30.3</v>
      </c>
      <c r="M423" s="243">
        <v>36.200000000000003</v>
      </c>
      <c r="N423" s="241">
        <v>45.9</v>
      </c>
      <c r="O423" s="242">
        <v>53.2</v>
      </c>
      <c r="P423" s="243">
        <v>63.5</v>
      </c>
      <c r="Z423" s="244">
        <f t="shared" si="19"/>
        <v>42.700000000000337</v>
      </c>
      <c r="AA423" s="376">
        <f t="shared" si="20"/>
        <v>7.0313599826064892E-5</v>
      </c>
    </row>
    <row r="424" spans="1:27">
      <c r="A424" s="244">
        <f t="shared" si="18"/>
        <v>42.800000000000338</v>
      </c>
      <c r="B424" s="241">
        <v>14.9</v>
      </c>
      <c r="C424" s="242">
        <v>17</v>
      </c>
      <c r="D424" s="243">
        <v>20.2</v>
      </c>
      <c r="E424" s="241">
        <v>16.7</v>
      </c>
      <c r="F424" s="242">
        <v>19.2</v>
      </c>
      <c r="G424" s="243">
        <v>22.8</v>
      </c>
      <c r="H424" s="241">
        <v>19.8</v>
      </c>
      <c r="I424" s="242">
        <v>22.8</v>
      </c>
      <c r="J424" s="243">
        <v>27.1</v>
      </c>
      <c r="K424" s="241">
        <v>26.5</v>
      </c>
      <c r="L424" s="242">
        <v>30.6</v>
      </c>
      <c r="M424" s="243">
        <v>36.5</v>
      </c>
      <c r="N424" s="241">
        <v>46.4</v>
      </c>
      <c r="O424" s="242">
        <v>53.7</v>
      </c>
      <c r="P424" s="243">
        <v>64</v>
      </c>
      <c r="Z424" s="244">
        <f t="shared" si="19"/>
        <v>42.800000000000338</v>
      </c>
      <c r="AA424" s="376">
        <f t="shared" si="20"/>
        <v>6.9862741597522557E-5</v>
      </c>
    </row>
    <row r="425" spans="1:27">
      <c r="A425" s="244">
        <f t="shared" si="18"/>
        <v>42.90000000000034</v>
      </c>
      <c r="B425" s="241">
        <v>15.1</v>
      </c>
      <c r="C425" s="242">
        <v>17.2</v>
      </c>
      <c r="D425" s="243">
        <v>20.399999999999999</v>
      </c>
      <c r="E425" s="241">
        <v>16.899999999999999</v>
      </c>
      <c r="F425" s="242">
        <v>19.399999999999999</v>
      </c>
      <c r="G425" s="243">
        <v>23</v>
      </c>
      <c r="H425" s="241">
        <v>20</v>
      </c>
      <c r="I425" s="242">
        <v>23</v>
      </c>
      <c r="J425" s="243">
        <v>27.3</v>
      </c>
      <c r="K425" s="241">
        <v>26.8</v>
      </c>
      <c r="L425" s="242">
        <v>30.9</v>
      </c>
      <c r="M425" s="243">
        <v>36.799999999999997</v>
      </c>
      <c r="N425" s="241">
        <v>47</v>
      </c>
      <c r="O425" s="242">
        <v>54.3</v>
      </c>
      <c r="P425" s="243">
        <v>64.599999999999994</v>
      </c>
      <c r="Z425" s="244">
        <f t="shared" si="19"/>
        <v>42.90000000000034</v>
      </c>
      <c r="AA425" s="376">
        <f t="shared" si="20"/>
        <v>6.9415816400655709E-5</v>
      </c>
    </row>
    <row r="426" spans="1:27">
      <c r="A426" s="244">
        <f t="shared" si="18"/>
        <v>43.000000000000341</v>
      </c>
      <c r="B426" s="241">
        <v>15.2</v>
      </c>
      <c r="C426" s="242">
        <v>17.399999999999999</v>
      </c>
      <c r="D426" s="243">
        <v>20.5</v>
      </c>
      <c r="E426" s="241">
        <v>17.100000000000001</v>
      </c>
      <c r="F426" s="242">
        <v>19.600000000000001</v>
      </c>
      <c r="G426" s="243">
        <v>23.2</v>
      </c>
      <c r="H426" s="241">
        <v>20.2</v>
      </c>
      <c r="I426" s="242">
        <v>23.2</v>
      </c>
      <c r="J426" s="243">
        <v>27.6</v>
      </c>
      <c r="K426" s="241">
        <v>27.1</v>
      </c>
      <c r="L426" s="242">
        <v>31.2</v>
      </c>
      <c r="M426" s="243">
        <v>37.200000000000003</v>
      </c>
      <c r="N426" s="241">
        <v>47.5</v>
      </c>
      <c r="O426" s="242">
        <v>54.8</v>
      </c>
      <c r="P426" s="243">
        <v>65.099999999999994</v>
      </c>
      <c r="Z426" s="244">
        <f t="shared" si="19"/>
        <v>43.000000000000341</v>
      </c>
      <c r="AA426" s="376">
        <f t="shared" si="20"/>
        <v>6.8972780877609729E-5</v>
      </c>
    </row>
    <row r="427" spans="1:27">
      <c r="A427" s="244">
        <f t="shared" si="18"/>
        <v>43.100000000000342</v>
      </c>
      <c r="B427" s="241">
        <v>15.4</v>
      </c>
      <c r="C427" s="242">
        <v>17.5</v>
      </c>
      <c r="D427" s="243">
        <v>20.7</v>
      </c>
      <c r="E427" s="241">
        <v>17.3</v>
      </c>
      <c r="F427" s="242">
        <v>19.8</v>
      </c>
      <c r="G427" s="243">
        <v>23.4</v>
      </c>
      <c r="H427" s="241">
        <v>20.399999999999999</v>
      </c>
      <c r="I427" s="242">
        <v>23.4</v>
      </c>
      <c r="J427" s="243">
        <v>27.8</v>
      </c>
      <c r="K427" s="241">
        <v>27.4</v>
      </c>
      <c r="L427" s="242">
        <v>31.5</v>
      </c>
      <c r="M427" s="243">
        <v>37.5</v>
      </c>
      <c r="N427" s="241">
        <v>48</v>
      </c>
      <c r="O427" s="242">
        <v>55.3</v>
      </c>
      <c r="P427" s="243">
        <v>65.7</v>
      </c>
      <c r="Z427" s="244">
        <f t="shared" si="19"/>
        <v>43.100000000000342</v>
      </c>
      <c r="AA427" s="376">
        <f t="shared" si="20"/>
        <v>6.8533592247795052E-5</v>
      </c>
    </row>
    <row r="428" spans="1:27">
      <c r="A428" s="244">
        <f t="shared" si="18"/>
        <v>43.200000000000344</v>
      </c>
      <c r="B428" s="241">
        <v>15.5</v>
      </c>
      <c r="C428" s="242">
        <v>17.7</v>
      </c>
      <c r="D428" s="243">
        <v>20.9</v>
      </c>
      <c r="E428" s="241">
        <v>17.5</v>
      </c>
      <c r="F428" s="242">
        <v>19.899999999999999</v>
      </c>
      <c r="G428" s="243">
        <v>23.6</v>
      </c>
      <c r="H428" s="241">
        <v>20.7</v>
      </c>
      <c r="I428" s="242">
        <v>23.7</v>
      </c>
      <c r="J428" s="243">
        <v>28.1</v>
      </c>
      <c r="K428" s="241">
        <v>27.7</v>
      </c>
      <c r="L428" s="242">
        <v>31.8</v>
      </c>
      <c r="M428" s="243">
        <v>37.799999999999997</v>
      </c>
      <c r="N428" s="241">
        <v>48.6</v>
      </c>
      <c r="O428" s="242">
        <v>55.9</v>
      </c>
      <c r="P428" s="243">
        <v>66.3</v>
      </c>
      <c r="Z428" s="244">
        <f t="shared" si="19"/>
        <v>43.200000000000344</v>
      </c>
      <c r="AA428" s="376">
        <f t="shared" si="20"/>
        <v>6.8098208298885611E-5</v>
      </c>
    </row>
    <row r="429" spans="1:27">
      <c r="A429" s="244">
        <f t="shared" si="18"/>
        <v>43.300000000000345</v>
      </c>
      <c r="B429" s="241">
        <v>15.7</v>
      </c>
      <c r="C429" s="242">
        <v>17.899999999999999</v>
      </c>
      <c r="D429" s="243">
        <v>21.1</v>
      </c>
      <c r="E429" s="241">
        <v>17.7</v>
      </c>
      <c r="F429" s="242">
        <v>20.100000000000001</v>
      </c>
      <c r="G429" s="243">
        <v>23.8</v>
      </c>
      <c r="H429" s="241">
        <v>20.9</v>
      </c>
      <c r="I429" s="242">
        <v>23.9</v>
      </c>
      <c r="J429" s="243">
        <v>28.3</v>
      </c>
      <c r="K429" s="241">
        <v>28</v>
      </c>
      <c r="L429" s="242">
        <v>32.200000000000003</v>
      </c>
      <c r="M429" s="243">
        <v>38.200000000000003</v>
      </c>
      <c r="N429" s="241">
        <v>49.1</v>
      </c>
      <c r="O429" s="242">
        <v>56.5</v>
      </c>
      <c r="P429" s="243">
        <v>66.900000000000006</v>
      </c>
      <c r="Z429" s="244">
        <f t="shared" si="19"/>
        <v>43.300000000000345</v>
      </c>
      <c r="AA429" s="376">
        <f t="shared" si="20"/>
        <v>6.7666587377978327E-5</v>
      </c>
    </row>
    <row r="430" spans="1:27">
      <c r="A430" s="244">
        <f t="shared" si="18"/>
        <v>43.400000000000347</v>
      </c>
      <c r="B430" s="241">
        <v>15.9</v>
      </c>
      <c r="C430" s="242">
        <v>18.100000000000001</v>
      </c>
      <c r="D430" s="243">
        <v>21.3</v>
      </c>
      <c r="E430" s="241">
        <v>17.899999999999999</v>
      </c>
      <c r="F430" s="242">
        <v>20.3</v>
      </c>
      <c r="G430" s="243">
        <v>24</v>
      </c>
      <c r="H430" s="241">
        <v>21.1</v>
      </c>
      <c r="I430" s="242">
        <v>24.1</v>
      </c>
      <c r="J430" s="243">
        <v>28.6</v>
      </c>
      <c r="K430" s="241">
        <v>28.3</v>
      </c>
      <c r="L430" s="242">
        <v>32.5</v>
      </c>
      <c r="M430" s="243">
        <v>38.5</v>
      </c>
      <c r="N430" s="241">
        <v>49.7</v>
      </c>
      <c r="O430" s="242">
        <v>57</v>
      </c>
      <c r="P430" s="243">
        <v>67.400000000000006</v>
      </c>
      <c r="Z430" s="244">
        <f t="shared" si="19"/>
        <v>43.400000000000347</v>
      </c>
      <c r="AA430" s="376">
        <f t="shared" si="20"/>
        <v>6.7238688382909685E-5</v>
      </c>
    </row>
    <row r="431" spans="1:27">
      <c r="A431" s="244">
        <f t="shared" si="18"/>
        <v>43.500000000000348</v>
      </c>
      <c r="B431" s="241">
        <v>16.100000000000001</v>
      </c>
      <c r="C431" s="242">
        <v>18.2</v>
      </c>
      <c r="D431" s="243">
        <v>21.4</v>
      </c>
      <c r="E431" s="241">
        <v>18.100000000000001</v>
      </c>
      <c r="F431" s="242">
        <v>20.6</v>
      </c>
      <c r="G431" s="243">
        <v>24.2</v>
      </c>
      <c r="H431" s="241">
        <v>21.4</v>
      </c>
      <c r="I431" s="242">
        <v>24.4</v>
      </c>
      <c r="J431" s="243">
        <v>28.8</v>
      </c>
      <c r="K431" s="241">
        <v>28.7</v>
      </c>
      <c r="L431" s="242">
        <v>32.799999999999997</v>
      </c>
      <c r="M431" s="243">
        <v>38.9</v>
      </c>
      <c r="N431" s="241">
        <v>50.2</v>
      </c>
      <c r="O431" s="242">
        <v>57.6</v>
      </c>
      <c r="P431" s="243">
        <v>68</v>
      </c>
      <c r="Z431" s="244">
        <f t="shared" si="19"/>
        <v>43.500000000000348</v>
      </c>
      <c r="AA431" s="376">
        <f t="shared" si="20"/>
        <v>6.6814470753727274E-5</v>
      </c>
    </row>
    <row r="432" spans="1:27">
      <c r="A432" s="244">
        <f t="shared" si="18"/>
        <v>43.60000000000035</v>
      </c>
      <c r="B432" s="241">
        <v>16.2</v>
      </c>
      <c r="C432" s="242">
        <v>18.399999999999999</v>
      </c>
      <c r="D432" s="243">
        <v>21.6</v>
      </c>
      <c r="E432" s="241">
        <v>18.3</v>
      </c>
      <c r="F432" s="242">
        <v>20.8</v>
      </c>
      <c r="G432" s="243">
        <v>24.5</v>
      </c>
      <c r="H432" s="241">
        <v>21.6</v>
      </c>
      <c r="I432" s="242">
        <v>24.6</v>
      </c>
      <c r="J432" s="243">
        <v>29.1</v>
      </c>
      <c r="K432" s="241">
        <v>29</v>
      </c>
      <c r="L432" s="242">
        <v>33.200000000000003</v>
      </c>
      <c r="M432" s="243">
        <v>39.200000000000003</v>
      </c>
      <c r="N432" s="241">
        <v>50.8</v>
      </c>
      <c r="O432" s="242">
        <v>58.2</v>
      </c>
      <c r="P432" s="243">
        <v>68.7</v>
      </c>
      <c r="Z432" s="244">
        <f t="shared" si="19"/>
        <v>43.60000000000035</v>
      </c>
      <c r="AA432" s="376">
        <f t="shared" si="20"/>
        <v>6.6393894464312188E-5</v>
      </c>
    </row>
    <row r="433" spans="1:27">
      <c r="A433" s="244">
        <f t="shared" si="18"/>
        <v>43.700000000000351</v>
      </c>
      <c r="B433" s="241">
        <v>16.399999999999999</v>
      </c>
      <c r="C433" s="242">
        <v>18.600000000000001</v>
      </c>
      <c r="D433" s="243">
        <v>21.8</v>
      </c>
      <c r="E433" s="241">
        <v>18.5</v>
      </c>
      <c r="F433" s="242">
        <v>21</v>
      </c>
      <c r="G433" s="243">
        <v>24.7</v>
      </c>
      <c r="H433" s="241">
        <v>21.9</v>
      </c>
      <c r="I433" s="242">
        <v>24.9</v>
      </c>
      <c r="J433" s="243">
        <v>29.4</v>
      </c>
      <c r="K433" s="241">
        <v>29.4</v>
      </c>
      <c r="L433" s="242">
        <v>33.5</v>
      </c>
      <c r="M433" s="243">
        <v>39.6</v>
      </c>
      <c r="N433" s="241">
        <v>51.4</v>
      </c>
      <c r="O433" s="242">
        <v>58.8</v>
      </c>
      <c r="P433" s="243">
        <v>69.3</v>
      </c>
      <c r="Z433" s="244">
        <f t="shared" si="19"/>
        <v>43.700000000000351</v>
      </c>
      <c r="AA433" s="376">
        <f t="shared" si="20"/>
        <v>6.597692001414975E-5</v>
      </c>
    </row>
    <row r="434" spans="1:27">
      <c r="A434" s="244">
        <f t="shared" si="18"/>
        <v>43.800000000000352</v>
      </c>
      <c r="B434" s="241">
        <v>16.600000000000001</v>
      </c>
      <c r="C434" s="242">
        <v>18.8</v>
      </c>
      <c r="D434" s="243">
        <v>22</v>
      </c>
      <c r="E434" s="241">
        <v>18.7</v>
      </c>
      <c r="F434" s="242">
        <v>21.2</v>
      </c>
      <c r="G434" s="243">
        <v>24.9</v>
      </c>
      <c r="H434" s="241">
        <v>22.1</v>
      </c>
      <c r="I434" s="242">
        <v>25.2</v>
      </c>
      <c r="J434" s="243">
        <v>29.6</v>
      </c>
      <c r="K434" s="241">
        <v>29.7</v>
      </c>
      <c r="L434" s="242">
        <v>33.9</v>
      </c>
      <c r="M434" s="243">
        <v>40</v>
      </c>
      <c r="N434" s="241">
        <v>52</v>
      </c>
      <c r="O434" s="242">
        <v>59.4</v>
      </c>
      <c r="P434" s="243">
        <v>69.900000000000006</v>
      </c>
      <c r="Z434" s="244">
        <f t="shared" si="19"/>
        <v>43.800000000000352</v>
      </c>
      <c r="AA434" s="376">
        <f t="shared" si="20"/>
        <v>6.5563508420245841E-5</v>
      </c>
    </row>
    <row r="435" spans="1:27">
      <c r="A435" s="244">
        <f t="shared" si="18"/>
        <v>43.900000000000354</v>
      </c>
      <c r="B435" s="241">
        <v>16.8</v>
      </c>
      <c r="C435" s="242">
        <v>19</v>
      </c>
      <c r="D435" s="243">
        <v>22.2</v>
      </c>
      <c r="E435" s="241">
        <v>18.899999999999999</v>
      </c>
      <c r="F435" s="242">
        <v>21.4</v>
      </c>
      <c r="G435" s="243">
        <v>25.1</v>
      </c>
      <c r="H435" s="241">
        <v>22.4</v>
      </c>
      <c r="I435" s="242">
        <v>25.4</v>
      </c>
      <c r="J435" s="243">
        <v>29.9</v>
      </c>
      <c r="K435" s="241">
        <v>30.1</v>
      </c>
      <c r="L435" s="242">
        <v>34.200000000000003</v>
      </c>
      <c r="M435" s="243">
        <v>40.4</v>
      </c>
      <c r="N435" s="241">
        <v>52.6</v>
      </c>
      <c r="O435" s="242">
        <v>60</v>
      </c>
      <c r="P435" s="243">
        <v>70.5</v>
      </c>
      <c r="Z435" s="244">
        <f t="shared" si="19"/>
        <v>43.900000000000354</v>
      </c>
      <c r="AA435" s="376">
        <f t="shared" si="20"/>
        <v>6.5153621209185266E-5</v>
      </c>
    </row>
    <row r="436" spans="1:27">
      <c r="A436" s="244">
        <f t="shared" si="18"/>
        <v>44.000000000000355</v>
      </c>
      <c r="B436" s="241">
        <v>17</v>
      </c>
      <c r="C436" s="242">
        <v>19.2</v>
      </c>
      <c r="D436" s="243">
        <v>22.5</v>
      </c>
      <c r="E436" s="241">
        <v>19.100000000000001</v>
      </c>
      <c r="F436" s="242">
        <v>21.6</v>
      </c>
      <c r="G436" s="243">
        <v>25.4</v>
      </c>
      <c r="H436" s="241">
        <v>22.6</v>
      </c>
      <c r="I436" s="242">
        <v>25.7</v>
      </c>
      <c r="J436" s="243">
        <v>30.2</v>
      </c>
      <c r="K436" s="241">
        <v>30.4</v>
      </c>
      <c r="L436" s="242">
        <v>34.6</v>
      </c>
      <c r="M436" s="243">
        <v>40.799999999999997</v>
      </c>
      <c r="N436" s="241">
        <v>53.3</v>
      </c>
      <c r="O436" s="242">
        <v>60.7</v>
      </c>
      <c r="P436" s="243">
        <v>71.2</v>
      </c>
      <c r="Z436" s="244">
        <f t="shared" si="19"/>
        <v>44.000000000000355</v>
      </c>
      <c r="AA436" s="376">
        <f t="shared" si="20"/>
        <v>6.4747220409330119E-5</v>
      </c>
    </row>
    <row r="437" spans="1:27">
      <c r="A437" s="244">
        <f t="shared" si="18"/>
        <v>44.100000000000357</v>
      </c>
      <c r="B437" s="241">
        <v>17.2</v>
      </c>
      <c r="C437" s="242">
        <v>19.399999999999999</v>
      </c>
      <c r="D437" s="243">
        <v>22.7</v>
      </c>
      <c r="E437" s="241">
        <v>19.3</v>
      </c>
      <c r="F437" s="242">
        <v>21.9</v>
      </c>
      <c r="G437" s="243">
        <v>25.6</v>
      </c>
      <c r="H437" s="241">
        <v>22.9</v>
      </c>
      <c r="I437" s="242">
        <v>26</v>
      </c>
      <c r="J437" s="243">
        <v>30.5</v>
      </c>
      <c r="K437" s="241">
        <v>30.8</v>
      </c>
      <c r="L437" s="242">
        <v>35</v>
      </c>
      <c r="M437" s="243">
        <v>41.2</v>
      </c>
      <c r="N437" s="241">
        <v>53.9</v>
      </c>
      <c r="O437" s="242">
        <v>61.3</v>
      </c>
      <c r="P437" s="243">
        <v>71.900000000000006</v>
      </c>
      <c r="Z437" s="244">
        <f t="shared" si="19"/>
        <v>44.100000000000357</v>
      </c>
      <c r="AA437" s="376">
        <f t="shared" si="20"/>
        <v>6.4344268543154557E-5</v>
      </c>
    </row>
    <row r="438" spans="1:27">
      <c r="A438" s="244">
        <f t="shared" si="18"/>
        <v>44.200000000000358</v>
      </c>
      <c r="B438" s="241">
        <v>17.399999999999999</v>
      </c>
      <c r="C438" s="242">
        <v>19.600000000000001</v>
      </c>
      <c r="D438" s="243">
        <v>22.9</v>
      </c>
      <c r="E438" s="241">
        <v>19.600000000000001</v>
      </c>
      <c r="F438" s="242">
        <v>22.1</v>
      </c>
      <c r="G438" s="243">
        <v>25.9</v>
      </c>
      <c r="H438" s="241">
        <v>23.2</v>
      </c>
      <c r="I438" s="242">
        <v>26.3</v>
      </c>
      <c r="J438" s="243">
        <v>30.8</v>
      </c>
      <c r="K438" s="241">
        <v>31.2</v>
      </c>
      <c r="L438" s="242">
        <v>35.4</v>
      </c>
      <c r="M438" s="243">
        <v>41.6</v>
      </c>
      <c r="N438" s="241">
        <v>54.6</v>
      </c>
      <c r="O438" s="242">
        <v>62</v>
      </c>
      <c r="P438" s="243">
        <v>72.5</v>
      </c>
      <c r="Z438" s="244">
        <f t="shared" si="19"/>
        <v>44.200000000000358</v>
      </c>
      <c r="AA438" s="376">
        <f t="shared" si="20"/>
        <v>6.3944728619714039E-5</v>
      </c>
    </row>
    <row r="439" spans="1:27">
      <c r="A439" s="244">
        <f t="shared" si="18"/>
        <v>44.30000000000036</v>
      </c>
      <c r="B439" s="241">
        <v>17.600000000000001</v>
      </c>
      <c r="C439" s="242">
        <v>19.8</v>
      </c>
      <c r="D439" s="243">
        <v>23.1</v>
      </c>
      <c r="E439" s="241">
        <v>19.8</v>
      </c>
      <c r="F439" s="242">
        <v>22.4</v>
      </c>
      <c r="G439" s="243">
        <v>26.1</v>
      </c>
      <c r="H439" s="241">
        <v>23.5</v>
      </c>
      <c r="I439" s="242">
        <v>26.6</v>
      </c>
      <c r="J439" s="243">
        <v>31.1</v>
      </c>
      <c r="K439" s="241">
        <v>31.6</v>
      </c>
      <c r="L439" s="242">
        <v>35.799999999999997</v>
      </c>
      <c r="M439" s="243">
        <v>42</v>
      </c>
      <c r="N439" s="241">
        <v>55.2</v>
      </c>
      <c r="O439" s="242">
        <v>62.7</v>
      </c>
      <c r="P439" s="243">
        <v>73.2</v>
      </c>
      <c r="Z439" s="244">
        <f t="shared" si="19"/>
        <v>44.30000000000036</v>
      </c>
      <c r="AA439" s="376">
        <f t="shared" si="20"/>
        <v>6.3548564127245889E-5</v>
      </c>
    </row>
    <row r="440" spans="1:27">
      <c r="A440" s="244">
        <f t="shared" si="18"/>
        <v>44.400000000000361</v>
      </c>
      <c r="B440" s="241">
        <v>17.8</v>
      </c>
      <c r="C440" s="242">
        <v>20</v>
      </c>
      <c r="D440" s="243">
        <v>23.3</v>
      </c>
      <c r="E440" s="241">
        <v>20</v>
      </c>
      <c r="F440" s="242">
        <v>22.6</v>
      </c>
      <c r="G440" s="243">
        <v>26.4</v>
      </c>
      <c r="H440" s="241">
        <v>23.8</v>
      </c>
      <c r="I440" s="242">
        <v>26.9</v>
      </c>
      <c r="J440" s="243">
        <v>31.4</v>
      </c>
      <c r="K440" s="241">
        <v>31.9</v>
      </c>
      <c r="L440" s="242">
        <v>36.200000000000003</v>
      </c>
      <c r="M440" s="243">
        <v>42.4</v>
      </c>
      <c r="N440" s="241">
        <v>55.9</v>
      </c>
      <c r="O440" s="242">
        <v>63.3</v>
      </c>
      <c r="P440" s="243">
        <v>73.900000000000006</v>
      </c>
      <c r="Z440" s="244">
        <f t="shared" si="19"/>
        <v>44.400000000000361</v>
      </c>
      <c r="AA440" s="376">
        <f t="shared" si="20"/>
        <v>6.3155739025898936E-5</v>
      </c>
    </row>
    <row r="441" spans="1:27">
      <c r="A441" s="244">
        <f t="shared" si="18"/>
        <v>44.500000000000362</v>
      </c>
      <c r="B441" s="241">
        <v>18</v>
      </c>
      <c r="C441" s="242">
        <v>20.2</v>
      </c>
      <c r="D441" s="243">
        <v>23.6</v>
      </c>
      <c r="E441" s="241">
        <v>20.3</v>
      </c>
      <c r="F441" s="242">
        <v>22.8</v>
      </c>
      <c r="G441" s="243">
        <v>26.7</v>
      </c>
      <c r="H441" s="241">
        <v>24.1</v>
      </c>
      <c r="I441" s="242">
        <v>27.2</v>
      </c>
      <c r="J441" s="243">
        <v>31.7</v>
      </c>
      <c r="K441" s="241">
        <v>32.4</v>
      </c>
      <c r="L441" s="242">
        <v>36.6</v>
      </c>
      <c r="M441" s="243">
        <v>42.8</v>
      </c>
      <c r="N441" s="241">
        <v>56.6</v>
      </c>
      <c r="O441" s="242">
        <v>64</v>
      </c>
      <c r="P441" s="243">
        <v>74.599999999999994</v>
      </c>
      <c r="Z441" s="244">
        <f t="shared" si="19"/>
        <v>44.500000000000362</v>
      </c>
      <c r="AA441" s="376">
        <f t="shared" si="20"/>
        <v>6.2766217740589151E-5</v>
      </c>
    </row>
    <row r="442" spans="1:27">
      <c r="A442" s="244">
        <f t="shared" si="18"/>
        <v>44.600000000000364</v>
      </c>
      <c r="B442" s="241">
        <v>18.2</v>
      </c>
      <c r="C442" s="242">
        <v>20.5</v>
      </c>
      <c r="D442" s="243">
        <v>23.8</v>
      </c>
      <c r="E442" s="241">
        <v>20.5</v>
      </c>
      <c r="F442" s="242">
        <v>23.1</v>
      </c>
      <c r="G442" s="243">
        <v>26.9</v>
      </c>
      <c r="H442" s="241">
        <v>24.4</v>
      </c>
      <c r="I442" s="242">
        <v>27.5</v>
      </c>
      <c r="J442" s="243">
        <v>32.1</v>
      </c>
      <c r="K442" s="241">
        <v>32.799999999999997</v>
      </c>
      <c r="L442" s="242">
        <v>37</v>
      </c>
      <c r="M442" s="243">
        <v>43.3</v>
      </c>
      <c r="N442" s="241">
        <v>57.3</v>
      </c>
      <c r="O442" s="242">
        <v>64.8</v>
      </c>
      <c r="P442" s="243">
        <v>75.400000000000006</v>
      </c>
      <c r="Z442" s="244">
        <f t="shared" si="19"/>
        <v>44.600000000000364</v>
      </c>
      <c r="AA442" s="376">
        <f t="shared" si="20"/>
        <v>6.2379965153979626E-5</v>
      </c>
    </row>
    <row r="443" spans="1:27">
      <c r="A443" s="244">
        <f t="shared" si="18"/>
        <v>44.700000000000365</v>
      </c>
      <c r="B443" s="241">
        <v>18.5</v>
      </c>
      <c r="C443" s="242">
        <v>20.7</v>
      </c>
      <c r="D443" s="243">
        <v>24</v>
      </c>
      <c r="E443" s="241">
        <v>20.8</v>
      </c>
      <c r="F443" s="242">
        <v>23.4</v>
      </c>
      <c r="G443" s="243">
        <v>27.2</v>
      </c>
      <c r="H443" s="241">
        <v>24.7</v>
      </c>
      <c r="I443" s="242">
        <v>27.8</v>
      </c>
      <c r="J443" s="243">
        <v>32.4</v>
      </c>
      <c r="K443" s="241">
        <v>33.200000000000003</v>
      </c>
      <c r="L443" s="242">
        <v>37.4</v>
      </c>
      <c r="M443" s="243">
        <v>43.7</v>
      </c>
      <c r="N443" s="241">
        <v>58</v>
      </c>
      <c r="O443" s="242">
        <v>65.5</v>
      </c>
      <c r="P443" s="243">
        <v>76.099999999999994</v>
      </c>
      <c r="Z443" s="244">
        <f t="shared" si="19"/>
        <v>44.700000000000365</v>
      </c>
      <c r="AA443" s="376">
        <f t="shared" si="20"/>
        <v>6.1996946599581821E-5</v>
      </c>
    </row>
    <row r="444" spans="1:27">
      <c r="A444" s="244">
        <f t="shared" si="18"/>
        <v>44.800000000000367</v>
      </c>
      <c r="B444" s="241">
        <v>18.7</v>
      </c>
      <c r="C444" s="242">
        <v>20.9</v>
      </c>
      <c r="D444" s="243">
        <v>24.3</v>
      </c>
      <c r="E444" s="241">
        <v>21.1</v>
      </c>
      <c r="F444" s="242">
        <v>23.6</v>
      </c>
      <c r="G444" s="243">
        <v>27.5</v>
      </c>
      <c r="H444" s="241">
        <v>25</v>
      </c>
      <c r="I444" s="242">
        <v>28.1</v>
      </c>
      <c r="J444" s="243">
        <v>32.700000000000003</v>
      </c>
      <c r="K444" s="241">
        <v>33.6</v>
      </c>
      <c r="L444" s="242">
        <v>37.9</v>
      </c>
      <c r="M444" s="243">
        <v>44.1</v>
      </c>
      <c r="N444" s="241">
        <v>58.7</v>
      </c>
      <c r="O444" s="242">
        <v>66.2</v>
      </c>
      <c r="P444" s="243">
        <v>76.8</v>
      </c>
      <c r="Z444" s="244">
        <f t="shared" si="19"/>
        <v>44.800000000000367</v>
      </c>
      <c r="AA444" s="376">
        <f t="shared" si="20"/>
        <v>6.1617127854975837E-5</v>
      </c>
    </row>
    <row r="445" spans="1:27">
      <c r="A445" s="244">
        <f t="shared" si="18"/>
        <v>44.900000000000368</v>
      </c>
      <c r="B445" s="241">
        <v>18.899999999999999</v>
      </c>
      <c r="C445" s="242">
        <v>21.2</v>
      </c>
      <c r="D445" s="243">
        <v>24.5</v>
      </c>
      <c r="E445" s="241">
        <v>21.3</v>
      </c>
      <c r="F445" s="242">
        <v>23.9</v>
      </c>
      <c r="G445" s="243">
        <v>27.8</v>
      </c>
      <c r="H445" s="241">
        <v>25.3</v>
      </c>
      <c r="I445" s="242">
        <v>28.4</v>
      </c>
      <c r="J445" s="243">
        <v>33.1</v>
      </c>
      <c r="K445" s="241">
        <v>34</v>
      </c>
      <c r="L445" s="242">
        <v>38.299999999999997</v>
      </c>
      <c r="M445" s="243">
        <v>44.6</v>
      </c>
      <c r="N445" s="241">
        <v>59.5</v>
      </c>
      <c r="O445" s="242">
        <v>67</v>
      </c>
      <c r="P445" s="243">
        <v>77.599999999999994</v>
      </c>
      <c r="Z445" s="244">
        <f t="shared" si="19"/>
        <v>44.900000000000368</v>
      </c>
      <c r="AA445" s="376">
        <f t="shared" si="20"/>
        <v>6.1240475135147565E-5</v>
      </c>
    </row>
    <row r="446" spans="1:27">
      <c r="A446" s="244">
        <f t="shared" si="18"/>
        <v>45.000000000000369</v>
      </c>
      <c r="B446" s="241">
        <v>19.2</v>
      </c>
      <c r="C446" s="242">
        <v>21.4</v>
      </c>
      <c r="D446" s="243">
        <v>24.8</v>
      </c>
      <c r="E446" s="241">
        <v>21.6</v>
      </c>
      <c r="F446" s="242">
        <v>24.2</v>
      </c>
      <c r="G446" s="243">
        <v>28.1</v>
      </c>
      <c r="H446" s="241">
        <v>25.6</v>
      </c>
      <c r="I446" s="242">
        <v>28.8</v>
      </c>
      <c r="J446" s="243">
        <v>33.4</v>
      </c>
      <c r="K446" s="241">
        <v>34.5</v>
      </c>
      <c r="L446" s="242">
        <v>38.799999999999997</v>
      </c>
      <c r="M446" s="243">
        <v>45.1</v>
      </c>
      <c r="N446" s="241">
        <v>60.2</v>
      </c>
      <c r="O446" s="242">
        <v>67.7</v>
      </c>
      <c r="P446" s="243">
        <v>78.400000000000006</v>
      </c>
      <c r="Z446" s="244">
        <f t="shared" si="19"/>
        <v>45.000000000000369</v>
      </c>
      <c r="AA446" s="376">
        <f t="shared" si="20"/>
        <v>6.0866955085940453E-5</v>
      </c>
    </row>
    <row r="447" spans="1:27">
      <c r="A447" s="244">
        <f t="shared" si="18"/>
        <v>45.100000000000371</v>
      </c>
      <c r="B447" s="241">
        <v>19.399999999999999</v>
      </c>
      <c r="C447" s="242">
        <v>21.7</v>
      </c>
      <c r="D447" s="243">
        <v>25.1</v>
      </c>
      <c r="E447" s="241">
        <v>21.9</v>
      </c>
      <c r="F447" s="242">
        <v>24.5</v>
      </c>
      <c r="G447" s="243">
        <v>28.4</v>
      </c>
      <c r="H447" s="241">
        <v>26</v>
      </c>
      <c r="I447" s="242">
        <v>29.1</v>
      </c>
      <c r="J447" s="243">
        <v>33.799999999999997</v>
      </c>
      <c r="K447" s="241">
        <v>34.9</v>
      </c>
      <c r="L447" s="242">
        <v>39.200000000000003</v>
      </c>
      <c r="M447" s="243">
        <v>45.6</v>
      </c>
      <c r="N447" s="241">
        <v>61</v>
      </c>
      <c r="O447" s="242">
        <v>68.5</v>
      </c>
      <c r="P447" s="243">
        <v>79.2</v>
      </c>
      <c r="Z447" s="244">
        <f t="shared" si="19"/>
        <v>45.100000000000371</v>
      </c>
      <c r="AA447" s="376">
        <f t="shared" si="20"/>
        <v>6.0496534777619531E-5</v>
      </c>
    </row>
    <row r="448" spans="1:27">
      <c r="A448" s="244">
        <f t="shared" si="18"/>
        <v>45.200000000000372</v>
      </c>
      <c r="B448" s="241">
        <v>19.600000000000001</v>
      </c>
      <c r="C448" s="242">
        <v>21.9</v>
      </c>
      <c r="D448" s="243">
        <v>25.3</v>
      </c>
      <c r="E448" s="241">
        <v>22.2</v>
      </c>
      <c r="F448" s="242">
        <v>24.8</v>
      </c>
      <c r="G448" s="243">
        <v>28.7</v>
      </c>
      <c r="H448" s="241">
        <v>26.3</v>
      </c>
      <c r="I448" s="242">
        <v>29.5</v>
      </c>
      <c r="J448" s="243">
        <v>34.1</v>
      </c>
      <c r="K448" s="241">
        <v>35.4</v>
      </c>
      <c r="L448" s="242">
        <v>39.700000000000003</v>
      </c>
      <c r="M448" s="243">
        <v>46.1</v>
      </c>
      <c r="N448" s="241">
        <v>61.8</v>
      </c>
      <c r="O448" s="242">
        <v>69.3</v>
      </c>
      <c r="P448" s="243">
        <v>80</v>
      </c>
      <c r="Z448" s="244">
        <f t="shared" si="19"/>
        <v>45.200000000000372</v>
      </c>
      <c r="AA448" s="376">
        <f t="shared" si="20"/>
        <v>6.0129181698545315E-5</v>
      </c>
    </row>
    <row r="449" spans="1:27">
      <c r="A449" s="244">
        <f t="shared" si="18"/>
        <v>45.300000000000374</v>
      </c>
      <c r="B449" s="241">
        <v>19.899999999999999</v>
      </c>
      <c r="C449" s="242">
        <v>22.2</v>
      </c>
      <c r="D449" s="243">
        <v>25.6</v>
      </c>
      <c r="E449" s="241">
        <v>22.5</v>
      </c>
      <c r="F449" s="242">
        <v>25.1</v>
      </c>
      <c r="G449" s="243">
        <v>29</v>
      </c>
      <c r="H449" s="241">
        <v>26.7</v>
      </c>
      <c r="I449" s="242">
        <v>29.8</v>
      </c>
      <c r="J449" s="243">
        <v>34.5</v>
      </c>
      <c r="K449" s="241">
        <v>35.9</v>
      </c>
      <c r="L449" s="242">
        <v>40.200000000000003</v>
      </c>
      <c r="M449" s="243">
        <v>46.6</v>
      </c>
      <c r="N449" s="241">
        <v>62.6</v>
      </c>
      <c r="O449" s="242">
        <v>70.099999999999994</v>
      </c>
      <c r="P449" s="243">
        <v>80.8</v>
      </c>
      <c r="Z449" s="244">
        <f t="shared" si="19"/>
        <v>45.300000000000374</v>
      </c>
      <c r="AA449" s="376">
        <f t="shared" si="20"/>
        <v>5.9764863748956256E-5</v>
      </c>
    </row>
    <row r="450" spans="1:27">
      <c r="A450" s="244">
        <f t="shared" si="18"/>
        <v>45.400000000000375</v>
      </c>
      <c r="B450" s="241">
        <v>20.2</v>
      </c>
      <c r="C450" s="242">
        <v>22.5</v>
      </c>
      <c r="D450" s="243">
        <v>25.9</v>
      </c>
      <c r="E450" s="241">
        <v>22.8</v>
      </c>
      <c r="F450" s="242">
        <v>25.4</v>
      </c>
      <c r="G450" s="243">
        <v>29.3</v>
      </c>
      <c r="H450" s="241">
        <v>27</v>
      </c>
      <c r="I450" s="242">
        <v>30.2</v>
      </c>
      <c r="J450" s="243">
        <v>34.9</v>
      </c>
      <c r="K450" s="241">
        <v>36.4</v>
      </c>
      <c r="L450" s="242">
        <v>40.700000000000003</v>
      </c>
      <c r="M450" s="243">
        <v>47.1</v>
      </c>
      <c r="N450" s="241">
        <v>63.4</v>
      </c>
      <c r="O450" s="242">
        <v>71</v>
      </c>
      <c r="P450" s="243">
        <v>81.599999999999994</v>
      </c>
      <c r="Z450" s="244">
        <f t="shared" si="19"/>
        <v>45.400000000000375</v>
      </c>
      <c r="AA450" s="376">
        <f t="shared" si="20"/>
        <v>5.9403549234856556E-5</v>
      </c>
    </row>
    <row r="451" spans="1:27">
      <c r="A451" s="244">
        <f t="shared" si="18"/>
        <v>45.500000000000377</v>
      </c>
      <c r="B451" s="241">
        <v>20.399999999999999</v>
      </c>
      <c r="C451" s="242">
        <v>22.7</v>
      </c>
      <c r="D451" s="243">
        <v>26.2</v>
      </c>
      <c r="E451" s="241">
        <v>23.1</v>
      </c>
      <c r="F451" s="242">
        <v>25.7</v>
      </c>
      <c r="G451" s="243">
        <v>29.6</v>
      </c>
      <c r="H451" s="241">
        <v>27.4</v>
      </c>
      <c r="I451" s="242">
        <v>30.6</v>
      </c>
      <c r="J451" s="243">
        <v>35.299999999999997</v>
      </c>
      <c r="K451" s="241">
        <v>36.9</v>
      </c>
      <c r="L451" s="242">
        <v>41.2</v>
      </c>
      <c r="M451" s="243">
        <v>47.6</v>
      </c>
      <c r="N451" s="241">
        <v>64.3</v>
      </c>
      <c r="O451" s="242">
        <v>71.8</v>
      </c>
      <c r="P451" s="243">
        <v>82.5</v>
      </c>
      <c r="Z451" s="244">
        <f t="shared" si="19"/>
        <v>45.500000000000377</v>
      </c>
      <c r="AA451" s="376">
        <f t="shared" si="20"/>
        <v>5.9045206862008318E-5</v>
      </c>
    </row>
    <row r="452" spans="1:27">
      <c r="A452" s="244">
        <f t="shared" si="18"/>
        <v>45.600000000000378</v>
      </c>
      <c r="B452" s="241">
        <v>20.7</v>
      </c>
      <c r="C452" s="242">
        <v>23</v>
      </c>
      <c r="D452" s="243">
        <v>26.5</v>
      </c>
      <c r="E452" s="241">
        <v>23.4</v>
      </c>
      <c r="F452" s="242">
        <v>26</v>
      </c>
      <c r="G452" s="243">
        <v>30</v>
      </c>
      <c r="H452" s="241">
        <v>27.8</v>
      </c>
      <c r="I452" s="242">
        <v>30.9</v>
      </c>
      <c r="J452" s="243">
        <v>35.700000000000003</v>
      </c>
      <c r="K452" s="241">
        <v>37.4</v>
      </c>
      <c r="L452" s="242">
        <v>41.7</v>
      </c>
      <c r="M452" s="243">
        <v>48.1</v>
      </c>
      <c r="N452" s="241">
        <v>65.099999999999994</v>
      </c>
      <c r="O452" s="242">
        <v>72.7</v>
      </c>
      <c r="P452" s="243">
        <v>83.4</v>
      </c>
      <c r="Z452" s="244">
        <f t="shared" si="19"/>
        <v>45.600000000000378</v>
      </c>
      <c r="AA452" s="376">
        <f t="shared" si="20"/>
        <v>5.8689805730025322E-5</v>
      </c>
    </row>
    <row r="453" spans="1:27">
      <c r="A453" s="244">
        <f t="shared" si="18"/>
        <v>45.700000000000379</v>
      </c>
      <c r="B453" s="241">
        <v>21</v>
      </c>
      <c r="C453" s="242">
        <v>23.3</v>
      </c>
      <c r="D453" s="243">
        <v>26.8</v>
      </c>
      <c r="E453" s="241">
        <v>23.7</v>
      </c>
      <c r="F453" s="242">
        <v>26.3</v>
      </c>
      <c r="G453" s="243">
        <v>30.3</v>
      </c>
      <c r="H453" s="241">
        <v>28.2</v>
      </c>
      <c r="I453" s="242">
        <v>31.3</v>
      </c>
      <c r="J453" s="243">
        <v>36.1</v>
      </c>
      <c r="K453" s="241">
        <v>37.9</v>
      </c>
      <c r="L453" s="242">
        <v>42.3</v>
      </c>
      <c r="M453" s="243">
        <v>48.7</v>
      </c>
      <c r="N453" s="241">
        <v>66</v>
      </c>
      <c r="O453" s="242">
        <v>73.5</v>
      </c>
      <c r="P453" s="243">
        <v>84.3</v>
      </c>
      <c r="Z453" s="244">
        <f t="shared" si="19"/>
        <v>45.700000000000379</v>
      </c>
      <c r="AA453" s="376">
        <f t="shared" si="20"/>
        <v>5.8337315326567077E-5</v>
      </c>
    </row>
    <row r="454" spans="1:27">
      <c r="A454" s="244">
        <f t="shared" si="18"/>
        <v>45.800000000000381</v>
      </c>
      <c r="B454" s="241">
        <v>21.3</v>
      </c>
      <c r="C454" s="242">
        <v>23.6</v>
      </c>
      <c r="D454" s="243">
        <v>27.1</v>
      </c>
      <c r="E454" s="241">
        <v>24</v>
      </c>
      <c r="F454" s="242">
        <v>26.7</v>
      </c>
      <c r="G454" s="243">
        <v>30.6</v>
      </c>
      <c r="H454" s="241">
        <v>28.6</v>
      </c>
      <c r="I454" s="242">
        <v>31.7</v>
      </c>
      <c r="J454" s="243">
        <v>36.5</v>
      </c>
      <c r="K454" s="241">
        <v>38.4</v>
      </c>
      <c r="L454" s="242">
        <v>42.8</v>
      </c>
      <c r="M454" s="243">
        <v>49.2</v>
      </c>
      <c r="N454" s="241">
        <v>66.900000000000006</v>
      </c>
      <c r="O454" s="242">
        <v>74.400000000000006</v>
      </c>
      <c r="P454" s="243">
        <v>85.2</v>
      </c>
      <c r="Z454" s="244">
        <f t="shared" si="19"/>
        <v>45.800000000000381</v>
      </c>
      <c r="AA454" s="376">
        <f t="shared" si="20"/>
        <v>5.7987705521630456E-5</v>
      </c>
    </row>
    <row r="455" spans="1:27">
      <c r="A455" s="244">
        <f t="shared" ref="A455:A518" si="21">A454+0.1</f>
        <v>45.900000000000382</v>
      </c>
      <c r="B455" s="241">
        <v>21.6</v>
      </c>
      <c r="C455" s="242">
        <v>23.9</v>
      </c>
      <c r="D455" s="243">
        <v>27.4</v>
      </c>
      <c r="E455" s="241">
        <v>24.4</v>
      </c>
      <c r="F455" s="242">
        <v>27</v>
      </c>
      <c r="G455" s="243">
        <v>31</v>
      </c>
      <c r="H455" s="241">
        <v>29</v>
      </c>
      <c r="I455" s="242">
        <v>32.200000000000003</v>
      </c>
      <c r="J455" s="243">
        <v>36.9</v>
      </c>
      <c r="K455" s="241">
        <v>39</v>
      </c>
      <c r="L455" s="242">
        <v>43.3</v>
      </c>
      <c r="M455" s="243">
        <v>49.8</v>
      </c>
      <c r="N455" s="241">
        <v>67.8</v>
      </c>
      <c r="O455" s="242">
        <v>75.3</v>
      </c>
      <c r="P455" s="243">
        <v>86.1</v>
      </c>
      <c r="Z455" s="244">
        <f t="shared" ref="Z455:Z518" si="22">Z454+0.1</f>
        <v>45.900000000000382</v>
      </c>
      <c r="AA455" s="376">
        <f t="shared" ref="AA455:AA518" si="23">T_gal(Z455)</f>
        <v>5.7640946561938122E-5</v>
      </c>
    </row>
    <row r="456" spans="1:27">
      <c r="A456" s="244">
        <f t="shared" si="21"/>
        <v>46.000000000000384</v>
      </c>
      <c r="B456" s="241">
        <v>21.9</v>
      </c>
      <c r="C456" s="242">
        <v>24.2</v>
      </c>
      <c r="D456" s="243">
        <v>27.7</v>
      </c>
      <c r="E456" s="241">
        <v>24.7</v>
      </c>
      <c r="F456" s="242">
        <v>27.4</v>
      </c>
      <c r="G456" s="243">
        <v>31.4</v>
      </c>
      <c r="H456" s="241">
        <v>29.4</v>
      </c>
      <c r="I456" s="242">
        <v>32.6</v>
      </c>
      <c r="J456" s="243">
        <v>37.4</v>
      </c>
      <c r="K456" s="241">
        <v>39.5</v>
      </c>
      <c r="L456" s="242">
        <v>43.9</v>
      </c>
      <c r="M456" s="243">
        <v>50.4</v>
      </c>
      <c r="N456" s="241">
        <v>68.7</v>
      </c>
      <c r="O456" s="242">
        <v>76.3</v>
      </c>
      <c r="P456" s="243">
        <v>87</v>
      </c>
      <c r="Z456" s="244">
        <f t="shared" si="22"/>
        <v>46.000000000000384</v>
      </c>
      <c r="AA456" s="376">
        <f t="shared" si="23"/>
        <v>5.7297009065420781E-5</v>
      </c>
    </row>
    <row r="457" spans="1:27">
      <c r="A457" s="244">
        <f t="shared" si="21"/>
        <v>46.100000000000385</v>
      </c>
      <c r="B457" s="241">
        <v>22.2</v>
      </c>
      <c r="C457" s="242">
        <v>24.5</v>
      </c>
      <c r="D457" s="243">
        <v>28</v>
      </c>
      <c r="E457" s="241">
        <v>25.1</v>
      </c>
      <c r="F457" s="242">
        <v>27.7</v>
      </c>
      <c r="G457" s="243">
        <v>31.7</v>
      </c>
      <c r="H457" s="241">
        <v>29.8</v>
      </c>
      <c r="I457" s="242">
        <v>33</v>
      </c>
      <c r="J457" s="243">
        <v>37.799999999999997</v>
      </c>
      <c r="K457" s="241">
        <v>40.1</v>
      </c>
      <c r="L457" s="242">
        <v>44.5</v>
      </c>
      <c r="M457" s="243">
        <v>51</v>
      </c>
      <c r="N457" s="241">
        <v>69.7</v>
      </c>
      <c r="O457" s="242">
        <v>77.2</v>
      </c>
      <c r="P457" s="243">
        <v>88</v>
      </c>
      <c r="Z457" s="244">
        <f t="shared" si="22"/>
        <v>46.100000000000385</v>
      </c>
      <c r="AA457" s="376">
        <f t="shared" si="23"/>
        <v>5.6955864015792363E-5</v>
      </c>
    </row>
    <row r="458" spans="1:27">
      <c r="A458" s="244">
        <f t="shared" si="21"/>
        <v>46.200000000000387</v>
      </c>
      <c r="B458" s="241">
        <v>22.5</v>
      </c>
      <c r="C458" s="242">
        <v>24.8</v>
      </c>
      <c r="D458" s="243">
        <v>28.4</v>
      </c>
      <c r="E458" s="241">
        <v>25.4</v>
      </c>
      <c r="F458" s="242">
        <v>28.1</v>
      </c>
      <c r="G458" s="243">
        <v>32.1</v>
      </c>
      <c r="H458" s="241">
        <v>30.2</v>
      </c>
      <c r="I458" s="242">
        <v>33.4</v>
      </c>
      <c r="J458" s="243">
        <v>38.299999999999997</v>
      </c>
      <c r="K458" s="241">
        <v>40.700000000000003</v>
      </c>
      <c r="L458" s="242">
        <v>45.1</v>
      </c>
      <c r="M458" s="243">
        <v>51.6</v>
      </c>
      <c r="N458" s="241">
        <v>70.7</v>
      </c>
      <c r="O458" s="242">
        <v>78.2</v>
      </c>
      <c r="P458" s="243">
        <v>89</v>
      </c>
      <c r="Z458" s="244">
        <f t="shared" si="22"/>
        <v>46.200000000000387</v>
      </c>
      <c r="AA458" s="376">
        <f t="shared" si="23"/>
        <v>5.6617482757215907E-5</v>
      </c>
    </row>
    <row r="459" spans="1:27">
      <c r="A459" s="244">
        <f t="shared" si="21"/>
        <v>46.300000000000388</v>
      </c>
      <c r="B459" s="241">
        <v>22.8</v>
      </c>
      <c r="C459" s="242">
        <v>25.2</v>
      </c>
      <c r="D459" s="243">
        <v>28.7</v>
      </c>
      <c r="E459" s="241">
        <v>25.8</v>
      </c>
      <c r="F459" s="242">
        <v>28.5</v>
      </c>
      <c r="G459" s="243">
        <v>32.5</v>
      </c>
      <c r="H459" s="241">
        <v>30.7</v>
      </c>
      <c r="I459" s="242">
        <v>33.9</v>
      </c>
      <c r="J459" s="243">
        <v>38.700000000000003</v>
      </c>
      <c r="K459" s="241">
        <v>41.3</v>
      </c>
      <c r="L459" s="242">
        <v>45.7</v>
      </c>
      <c r="M459" s="243">
        <v>52.2</v>
      </c>
      <c r="N459" s="241">
        <v>71.599999999999994</v>
      </c>
      <c r="O459" s="242">
        <v>79.2</v>
      </c>
      <c r="P459" s="243">
        <v>90</v>
      </c>
      <c r="Z459" s="244">
        <f t="shared" si="22"/>
        <v>46.300000000000388</v>
      </c>
      <c r="AA459" s="376">
        <f t="shared" si="23"/>
        <v>5.6281836989058498E-5</v>
      </c>
    </row>
    <row r="460" spans="1:27">
      <c r="A460" s="244">
        <f t="shared" si="21"/>
        <v>46.400000000000389</v>
      </c>
      <c r="B460" s="241">
        <v>23.2</v>
      </c>
      <c r="C460" s="242">
        <v>25.5</v>
      </c>
      <c r="D460" s="243">
        <v>29.1</v>
      </c>
      <c r="E460" s="241">
        <v>26.2</v>
      </c>
      <c r="F460" s="242">
        <v>28.8</v>
      </c>
      <c r="G460" s="243">
        <v>32.9</v>
      </c>
      <c r="H460" s="241">
        <v>31.1</v>
      </c>
      <c r="I460" s="242">
        <v>34.4</v>
      </c>
      <c r="J460" s="243">
        <v>39.200000000000003</v>
      </c>
      <c r="K460" s="241">
        <v>41.9</v>
      </c>
      <c r="L460" s="242">
        <v>46.3</v>
      </c>
      <c r="M460" s="243">
        <v>52.9</v>
      </c>
      <c r="N460" s="241">
        <v>72.599999999999994</v>
      </c>
      <c r="O460" s="242">
        <v>80.2</v>
      </c>
      <c r="P460" s="243">
        <v>91</v>
      </c>
      <c r="Z460" s="244">
        <f t="shared" si="22"/>
        <v>46.400000000000389</v>
      </c>
      <c r="AA460" s="376">
        <f t="shared" si="23"/>
        <v>5.5948898760733866E-5</v>
      </c>
    </row>
    <row r="461" spans="1:27">
      <c r="A461" s="244">
        <f t="shared" si="21"/>
        <v>46.500000000000391</v>
      </c>
      <c r="B461" s="241">
        <v>23.5</v>
      </c>
      <c r="C461" s="242">
        <v>25.9</v>
      </c>
      <c r="D461" s="243">
        <v>29.4</v>
      </c>
      <c r="E461" s="241">
        <v>26.6</v>
      </c>
      <c r="F461" s="242">
        <v>29.2</v>
      </c>
      <c r="G461" s="243">
        <v>33.299999999999997</v>
      </c>
      <c r="H461" s="241">
        <v>31.6</v>
      </c>
      <c r="I461" s="242">
        <v>34.799999999999997</v>
      </c>
      <c r="J461" s="243">
        <v>39.700000000000003</v>
      </c>
      <c r="K461" s="241">
        <v>42.5</v>
      </c>
      <c r="L461" s="242">
        <v>46.9</v>
      </c>
      <c r="M461" s="243">
        <v>53.5</v>
      </c>
      <c r="N461" s="241">
        <v>73.7</v>
      </c>
      <c r="O461" s="242">
        <v>81.2</v>
      </c>
      <c r="P461" s="243">
        <v>92</v>
      </c>
      <c r="Z461" s="244">
        <f t="shared" si="22"/>
        <v>46.500000000000391</v>
      </c>
      <c r="AA461" s="376">
        <f t="shared" si="23"/>
        <v>5.561864046663047E-5</v>
      </c>
    </row>
    <row r="462" spans="1:27">
      <c r="A462" s="244">
        <f t="shared" si="21"/>
        <v>46.600000000000392</v>
      </c>
      <c r="B462" s="241">
        <v>23.8</v>
      </c>
      <c r="C462" s="242">
        <v>26.2</v>
      </c>
      <c r="D462" s="243">
        <v>29.8</v>
      </c>
      <c r="E462" s="241">
        <v>27</v>
      </c>
      <c r="F462" s="242">
        <v>29.7</v>
      </c>
      <c r="G462" s="243">
        <v>33.700000000000003</v>
      </c>
      <c r="H462" s="241">
        <v>32.1</v>
      </c>
      <c r="I462" s="242">
        <v>35.299999999999997</v>
      </c>
      <c r="J462" s="243">
        <v>40.200000000000003</v>
      </c>
      <c r="K462" s="241">
        <v>43.2</v>
      </c>
      <c r="L462" s="242">
        <v>47.6</v>
      </c>
      <c r="M462" s="243">
        <v>54.2</v>
      </c>
      <c r="N462" s="241">
        <v>74.7</v>
      </c>
      <c r="O462" s="242">
        <v>82.3</v>
      </c>
      <c r="P462" s="243">
        <v>93.1</v>
      </c>
      <c r="Z462" s="244">
        <f t="shared" si="22"/>
        <v>46.600000000000392</v>
      </c>
      <c r="AA462" s="376">
        <f t="shared" si="23"/>
        <v>5.5291034841124041E-5</v>
      </c>
    </row>
    <row r="463" spans="1:27">
      <c r="A463" s="244">
        <f t="shared" si="21"/>
        <v>46.700000000000394</v>
      </c>
      <c r="B463" s="241">
        <v>24.2</v>
      </c>
      <c r="C463" s="242">
        <v>26.6</v>
      </c>
      <c r="D463" s="243">
        <v>30.2</v>
      </c>
      <c r="E463" s="241">
        <v>27.4</v>
      </c>
      <c r="F463" s="242">
        <v>30.1</v>
      </c>
      <c r="G463" s="243">
        <v>34.200000000000003</v>
      </c>
      <c r="H463" s="241">
        <v>32.6</v>
      </c>
      <c r="I463" s="242">
        <v>35.799999999999997</v>
      </c>
      <c r="J463" s="243">
        <v>40.700000000000003</v>
      </c>
      <c r="K463" s="241">
        <v>43.8</v>
      </c>
      <c r="L463" s="242">
        <v>48.3</v>
      </c>
      <c r="M463" s="243">
        <v>54.9</v>
      </c>
      <c r="N463" s="241">
        <v>75.8</v>
      </c>
      <c r="O463" s="242">
        <v>83.4</v>
      </c>
      <c r="P463" s="243">
        <v>94.2</v>
      </c>
      <c r="Z463" s="244">
        <f t="shared" si="22"/>
        <v>46.700000000000394</v>
      </c>
      <c r="AA463" s="376">
        <f t="shared" si="23"/>
        <v>5.496605495367263E-5</v>
      </c>
    </row>
    <row r="464" spans="1:27">
      <c r="A464" s="244">
        <f t="shared" si="21"/>
        <v>46.800000000000395</v>
      </c>
      <c r="B464" s="241">
        <v>24.6</v>
      </c>
      <c r="C464" s="242">
        <v>26.9</v>
      </c>
      <c r="D464" s="243">
        <v>30.6</v>
      </c>
      <c r="E464" s="241">
        <v>27.8</v>
      </c>
      <c r="F464" s="242">
        <v>30.5</v>
      </c>
      <c r="G464" s="243">
        <v>34.6</v>
      </c>
      <c r="H464" s="241">
        <v>33.1</v>
      </c>
      <c r="I464" s="242">
        <v>36.299999999999997</v>
      </c>
      <c r="J464" s="243">
        <v>41.3</v>
      </c>
      <c r="K464" s="241">
        <v>44.5</v>
      </c>
      <c r="L464" s="242">
        <v>48.9</v>
      </c>
      <c r="M464" s="243">
        <v>55.6</v>
      </c>
      <c r="N464" s="241">
        <v>76.900000000000006</v>
      </c>
      <c r="O464" s="242">
        <v>84.5</v>
      </c>
      <c r="P464" s="243">
        <v>95.3</v>
      </c>
      <c r="Z464" s="244">
        <f t="shared" si="22"/>
        <v>46.800000000000395</v>
      </c>
      <c r="AA464" s="376">
        <f t="shared" si="23"/>
        <v>5.4643674203992702E-5</v>
      </c>
    </row>
    <row r="465" spans="1:27">
      <c r="A465" s="244">
        <f t="shared" si="21"/>
        <v>46.900000000000396</v>
      </c>
      <c r="B465" s="241">
        <v>25</v>
      </c>
      <c r="C465" s="242">
        <v>27.3</v>
      </c>
      <c r="D465" s="243">
        <v>31</v>
      </c>
      <c r="E465" s="241">
        <v>28.2</v>
      </c>
      <c r="F465" s="242">
        <v>30.9</v>
      </c>
      <c r="G465" s="243">
        <v>35.1</v>
      </c>
      <c r="H465" s="241">
        <v>33.6</v>
      </c>
      <c r="I465" s="242">
        <v>36.799999999999997</v>
      </c>
      <c r="J465" s="243">
        <v>41.8</v>
      </c>
      <c r="K465" s="241">
        <v>45.2</v>
      </c>
      <c r="L465" s="242">
        <v>49.6</v>
      </c>
      <c r="M465" s="243">
        <v>56.3</v>
      </c>
      <c r="N465" s="241">
        <v>78</v>
      </c>
      <c r="O465" s="242">
        <v>85.6</v>
      </c>
      <c r="P465" s="243">
        <v>96.4</v>
      </c>
      <c r="Z465" s="244">
        <f t="shared" si="22"/>
        <v>46.900000000000396</v>
      </c>
      <c r="AA465" s="376">
        <f t="shared" si="23"/>
        <v>5.4323866317314768E-5</v>
      </c>
    </row>
    <row r="466" spans="1:27">
      <c r="A466" s="244">
        <f t="shared" si="21"/>
        <v>47.000000000000398</v>
      </c>
      <c r="B466" s="241">
        <v>25.3</v>
      </c>
      <c r="C466" s="242">
        <v>27.7</v>
      </c>
      <c r="D466" s="243">
        <v>31.4</v>
      </c>
      <c r="E466" s="241">
        <v>28.7</v>
      </c>
      <c r="F466" s="242">
        <v>31.4</v>
      </c>
      <c r="G466" s="243">
        <v>35.5</v>
      </c>
      <c r="H466" s="241">
        <v>34.1</v>
      </c>
      <c r="I466" s="242">
        <v>37.4</v>
      </c>
      <c r="J466" s="243">
        <v>42.4</v>
      </c>
      <c r="K466" s="241">
        <v>45.9</v>
      </c>
      <c r="L466" s="242">
        <v>50.4</v>
      </c>
      <c r="M466" s="243">
        <v>57</v>
      </c>
      <c r="N466" s="241">
        <v>79.2</v>
      </c>
      <c r="O466" s="242">
        <v>86.8</v>
      </c>
      <c r="P466" s="243">
        <v>97.6</v>
      </c>
      <c r="Z466" s="244">
        <f t="shared" si="22"/>
        <v>47.000000000000398</v>
      </c>
      <c r="AA466" s="376">
        <f t="shared" si="23"/>
        <v>5.4006605339717376E-5</v>
      </c>
    </row>
    <row r="467" spans="1:27">
      <c r="A467" s="244">
        <f t="shared" si="21"/>
        <v>47.100000000000399</v>
      </c>
      <c r="B467" s="241">
        <v>25.7</v>
      </c>
      <c r="C467" s="242">
        <v>28.1</v>
      </c>
      <c r="D467" s="243">
        <v>31.8</v>
      </c>
      <c r="E467" s="241">
        <v>29.1</v>
      </c>
      <c r="F467" s="242">
        <v>31.8</v>
      </c>
      <c r="G467" s="243">
        <v>36</v>
      </c>
      <c r="H467" s="241">
        <v>34.6</v>
      </c>
      <c r="I467" s="242">
        <v>37.9</v>
      </c>
      <c r="J467" s="243">
        <v>42.9</v>
      </c>
      <c r="K467" s="241">
        <v>46.6</v>
      </c>
      <c r="L467" s="242">
        <v>51.1</v>
      </c>
      <c r="M467" s="243">
        <v>57.8</v>
      </c>
      <c r="N467" s="241">
        <v>80.400000000000006</v>
      </c>
      <c r="O467" s="242">
        <v>87.9</v>
      </c>
      <c r="P467" s="243">
        <v>98.7</v>
      </c>
      <c r="Z467" s="244">
        <f t="shared" si="22"/>
        <v>47.100000000000399</v>
      </c>
      <c r="AA467" s="376">
        <f t="shared" si="23"/>
        <v>5.3691865633537186E-5</v>
      </c>
    </row>
    <row r="468" spans="1:27">
      <c r="A468" s="244">
        <f t="shared" si="21"/>
        <v>47.200000000000401</v>
      </c>
      <c r="B468" s="241">
        <v>26.2</v>
      </c>
      <c r="C468" s="242">
        <v>28.6</v>
      </c>
      <c r="D468" s="243">
        <v>32.200000000000003</v>
      </c>
      <c r="E468" s="241">
        <v>29.6</v>
      </c>
      <c r="F468" s="242">
        <v>32.299999999999997</v>
      </c>
      <c r="G468" s="243">
        <v>36.5</v>
      </c>
      <c r="H468" s="241">
        <v>35.200000000000003</v>
      </c>
      <c r="I468" s="242">
        <v>38.5</v>
      </c>
      <c r="J468" s="243">
        <v>43.5</v>
      </c>
      <c r="K468" s="241">
        <v>47.4</v>
      </c>
      <c r="L468" s="242">
        <v>51.9</v>
      </c>
      <c r="M468" s="243">
        <v>58.5</v>
      </c>
      <c r="N468" s="241">
        <v>81.599999999999994</v>
      </c>
      <c r="O468" s="242">
        <v>89.1</v>
      </c>
      <c r="P468" s="243">
        <v>99.9</v>
      </c>
      <c r="Z468" s="244">
        <f t="shared" si="22"/>
        <v>47.200000000000401</v>
      </c>
      <c r="AA468" s="376">
        <f t="shared" si="23"/>
        <v>5.3379621872854967E-5</v>
      </c>
    </row>
    <row r="469" spans="1:27">
      <c r="A469" s="244">
        <f t="shared" si="21"/>
        <v>47.300000000000402</v>
      </c>
      <c r="B469" s="241">
        <v>26.6</v>
      </c>
      <c r="C469" s="242">
        <v>29</v>
      </c>
      <c r="D469" s="243">
        <v>32.700000000000003</v>
      </c>
      <c r="E469" s="241">
        <v>30.1</v>
      </c>
      <c r="F469" s="242">
        <v>32.799999999999997</v>
      </c>
      <c r="G469" s="243">
        <v>37</v>
      </c>
      <c r="H469" s="241">
        <v>35.799999999999997</v>
      </c>
      <c r="I469" s="242">
        <v>39.1</v>
      </c>
      <c r="J469" s="243">
        <v>44.1</v>
      </c>
      <c r="K469" s="241">
        <v>48.1</v>
      </c>
      <c r="L469" s="242">
        <v>52.6</v>
      </c>
      <c r="M469" s="243">
        <v>59.3</v>
      </c>
      <c r="N469" s="241">
        <v>82.8</v>
      </c>
      <c r="O469" s="242">
        <v>90.4</v>
      </c>
      <c r="P469" s="243">
        <v>101.2</v>
      </c>
      <c r="Z469" s="244">
        <f t="shared" si="22"/>
        <v>47.300000000000402</v>
      </c>
      <c r="AA469" s="376">
        <f t="shared" si="23"/>
        <v>5.3069849039054743E-5</v>
      </c>
    </row>
    <row r="470" spans="1:27">
      <c r="A470" s="244">
        <f t="shared" si="21"/>
        <v>47.400000000000404</v>
      </c>
      <c r="B470" s="241">
        <v>27</v>
      </c>
      <c r="C470" s="242">
        <v>29.4</v>
      </c>
      <c r="D470" s="243">
        <v>33.1</v>
      </c>
      <c r="E470" s="241">
        <v>30.6</v>
      </c>
      <c r="F470" s="242">
        <v>33.299999999999997</v>
      </c>
      <c r="G470" s="243">
        <v>37.5</v>
      </c>
      <c r="H470" s="241">
        <v>36.4</v>
      </c>
      <c r="I470" s="242">
        <v>39.700000000000003</v>
      </c>
      <c r="J470" s="243">
        <v>44.7</v>
      </c>
      <c r="K470" s="241">
        <v>48.9</v>
      </c>
      <c r="L470" s="242">
        <v>53.4</v>
      </c>
      <c r="M470" s="243">
        <v>60.1</v>
      </c>
      <c r="N470" s="241">
        <v>84</v>
      </c>
      <c r="O470" s="242">
        <v>91.6</v>
      </c>
      <c r="P470" s="243">
        <v>102.4</v>
      </c>
      <c r="Z470" s="244">
        <f t="shared" si="22"/>
        <v>47.400000000000404</v>
      </c>
      <c r="AA470" s="376">
        <f t="shared" si="23"/>
        <v>5.2762522416455948E-5</v>
      </c>
    </row>
    <row r="471" spans="1:27">
      <c r="A471" s="244">
        <f t="shared" si="21"/>
        <v>47.500000000000405</v>
      </c>
      <c r="B471" s="241">
        <v>27.5</v>
      </c>
      <c r="C471" s="242">
        <v>29.9</v>
      </c>
      <c r="D471" s="243">
        <v>33.6</v>
      </c>
      <c r="E471" s="241">
        <v>31.1</v>
      </c>
      <c r="F471" s="242">
        <v>33.799999999999997</v>
      </c>
      <c r="G471" s="243">
        <v>38.1</v>
      </c>
      <c r="H471" s="241">
        <v>37</v>
      </c>
      <c r="I471" s="242">
        <v>40.299999999999997</v>
      </c>
      <c r="J471" s="243">
        <v>45.4</v>
      </c>
      <c r="K471" s="241">
        <v>49.7</v>
      </c>
      <c r="L471" s="242">
        <v>54.2</v>
      </c>
      <c r="M471" s="243">
        <v>61</v>
      </c>
      <c r="N471" s="241">
        <v>85.3</v>
      </c>
      <c r="O471" s="242">
        <v>92.9</v>
      </c>
      <c r="P471" s="243">
        <v>103.7</v>
      </c>
      <c r="Z471" s="244">
        <f t="shared" si="22"/>
        <v>47.500000000000405</v>
      </c>
      <c r="AA471" s="376">
        <f t="shared" si="23"/>
        <v>5.2457617588016347E-5</v>
      </c>
    </row>
    <row r="472" spans="1:27">
      <c r="A472" s="244">
        <f t="shared" si="21"/>
        <v>47.600000000000406</v>
      </c>
      <c r="B472" s="241">
        <v>27.9</v>
      </c>
      <c r="C472" s="242">
        <v>30.3</v>
      </c>
      <c r="D472" s="243">
        <v>34.1</v>
      </c>
      <c r="E472" s="241">
        <v>31.6</v>
      </c>
      <c r="F472" s="242">
        <v>34.4</v>
      </c>
      <c r="G472" s="243">
        <v>38.6</v>
      </c>
      <c r="H472" s="241">
        <v>37.6</v>
      </c>
      <c r="I472" s="242">
        <v>40.9</v>
      </c>
      <c r="J472" s="243">
        <v>46</v>
      </c>
      <c r="K472" s="241">
        <v>50.6</v>
      </c>
      <c r="L472" s="242">
        <v>55.1</v>
      </c>
      <c r="M472" s="243">
        <v>61.8</v>
      </c>
      <c r="N472" s="241">
        <v>86.6</v>
      </c>
      <c r="O472" s="242">
        <v>94.2</v>
      </c>
      <c r="P472" s="243">
        <v>105</v>
      </c>
      <c r="Z472" s="244">
        <f t="shared" si="22"/>
        <v>47.600000000000406</v>
      </c>
      <c r="AA472" s="376">
        <f t="shared" si="23"/>
        <v>5.2155110431105E-5</v>
      </c>
    </row>
    <row r="473" spans="1:27">
      <c r="A473" s="244">
        <f t="shared" si="21"/>
        <v>47.700000000000408</v>
      </c>
      <c r="B473" s="241">
        <v>28.4</v>
      </c>
      <c r="C473" s="242">
        <v>30.8</v>
      </c>
      <c r="D473" s="243">
        <v>34.6</v>
      </c>
      <c r="E473" s="241">
        <v>32.1</v>
      </c>
      <c r="F473" s="242">
        <v>34.9</v>
      </c>
      <c r="G473" s="243">
        <v>39.200000000000003</v>
      </c>
      <c r="H473" s="241">
        <v>38.200000000000003</v>
      </c>
      <c r="I473" s="242">
        <v>41.6</v>
      </c>
      <c r="J473" s="243">
        <v>46.7</v>
      </c>
      <c r="K473" s="241">
        <v>51.4</v>
      </c>
      <c r="L473" s="242">
        <v>55.9</v>
      </c>
      <c r="M473" s="243">
        <v>62.7</v>
      </c>
      <c r="N473" s="241">
        <v>88</v>
      </c>
      <c r="O473" s="242">
        <v>95.6</v>
      </c>
      <c r="P473" s="243">
        <v>106.4</v>
      </c>
      <c r="Z473" s="244">
        <f t="shared" si="22"/>
        <v>47.700000000000408</v>
      </c>
      <c r="AA473" s="376">
        <f t="shared" si="23"/>
        <v>5.185497711334373E-5</v>
      </c>
    </row>
    <row r="474" spans="1:27">
      <c r="A474" s="244">
        <f t="shared" si="21"/>
        <v>47.800000000000409</v>
      </c>
      <c r="B474" s="241">
        <v>28.9</v>
      </c>
      <c r="C474" s="242">
        <v>31.3</v>
      </c>
      <c r="D474" s="243">
        <v>35.1</v>
      </c>
      <c r="E474" s="241">
        <v>32.700000000000003</v>
      </c>
      <c r="F474" s="242">
        <v>35.5</v>
      </c>
      <c r="G474" s="243">
        <v>39.700000000000003</v>
      </c>
      <c r="H474" s="241">
        <v>38.9</v>
      </c>
      <c r="I474" s="242">
        <v>42.2</v>
      </c>
      <c r="J474" s="243">
        <v>47.4</v>
      </c>
      <c r="K474" s="241">
        <v>52.3</v>
      </c>
      <c r="L474" s="242">
        <v>56.8</v>
      </c>
      <c r="M474" s="243">
        <v>63.6</v>
      </c>
      <c r="N474" s="241">
        <v>89.4</v>
      </c>
      <c r="O474" s="242">
        <v>97</v>
      </c>
      <c r="P474" s="243">
        <v>107.8</v>
      </c>
      <c r="Z474" s="244">
        <f t="shared" si="22"/>
        <v>47.800000000000409</v>
      </c>
      <c r="AA474" s="376">
        <f t="shared" si="23"/>
        <v>5.1557194088515809E-5</v>
      </c>
    </row>
    <row r="475" spans="1:27">
      <c r="A475" s="244">
        <f t="shared" si="21"/>
        <v>47.900000000000411</v>
      </c>
      <c r="B475" s="241">
        <v>29.4</v>
      </c>
      <c r="C475" s="242">
        <v>31.8</v>
      </c>
      <c r="D475" s="243">
        <v>35.6</v>
      </c>
      <c r="E475" s="241">
        <v>33.200000000000003</v>
      </c>
      <c r="F475" s="242">
        <v>36</v>
      </c>
      <c r="G475" s="243">
        <v>40.299999999999997</v>
      </c>
      <c r="H475" s="241">
        <v>39.6</v>
      </c>
      <c r="I475" s="242">
        <v>42.9</v>
      </c>
      <c r="J475" s="243">
        <v>48.1</v>
      </c>
      <c r="K475" s="241">
        <v>53.2</v>
      </c>
      <c r="L475" s="242">
        <v>57.7</v>
      </c>
      <c r="M475" s="243">
        <v>64.5</v>
      </c>
      <c r="N475" s="241">
        <v>90.8</v>
      </c>
      <c r="O475" s="242">
        <v>98.4</v>
      </c>
      <c r="P475" s="243">
        <v>109.2</v>
      </c>
      <c r="Z475" s="244">
        <f t="shared" si="22"/>
        <v>47.900000000000411</v>
      </c>
      <c r="AA475" s="376">
        <f t="shared" si="23"/>
        <v>5.1261738092540824E-5</v>
      </c>
    </row>
    <row r="476" spans="1:27">
      <c r="A476" s="244">
        <f t="shared" si="21"/>
        <v>48.000000000000412</v>
      </c>
      <c r="B476" s="241">
        <v>29.9</v>
      </c>
      <c r="C476" s="242">
        <v>32.4</v>
      </c>
      <c r="D476" s="243">
        <v>36.200000000000003</v>
      </c>
      <c r="E476" s="241">
        <v>33.799999999999997</v>
      </c>
      <c r="F476" s="242">
        <v>36.6</v>
      </c>
      <c r="G476" s="243">
        <v>41</v>
      </c>
      <c r="H476" s="241">
        <v>40.299999999999997</v>
      </c>
      <c r="I476" s="242">
        <v>43.6</v>
      </c>
      <c r="J476" s="243">
        <v>48.8</v>
      </c>
      <c r="K476" s="241">
        <v>54.1</v>
      </c>
      <c r="L476" s="242">
        <v>58.7</v>
      </c>
      <c r="M476" s="243">
        <v>65.5</v>
      </c>
      <c r="N476" s="241">
        <v>92.2</v>
      </c>
      <c r="O476" s="242">
        <v>99.8</v>
      </c>
      <c r="P476" s="243">
        <v>110.6</v>
      </c>
      <c r="Z476" s="244">
        <f t="shared" si="22"/>
        <v>48.000000000000412</v>
      </c>
      <c r="AA476" s="376">
        <f t="shared" si="23"/>
        <v>5.0968586139514445E-5</v>
      </c>
    </row>
    <row r="477" spans="1:27">
      <c r="A477" s="244">
        <f t="shared" si="21"/>
        <v>48.100000000000414</v>
      </c>
      <c r="B477" s="241">
        <v>30.4</v>
      </c>
      <c r="C477" s="242">
        <v>32.9</v>
      </c>
      <c r="D477" s="243">
        <v>36.700000000000003</v>
      </c>
      <c r="E477" s="241">
        <v>34.4</v>
      </c>
      <c r="F477" s="242">
        <v>37.200000000000003</v>
      </c>
      <c r="G477" s="243">
        <v>41.6</v>
      </c>
      <c r="H477" s="241">
        <v>41</v>
      </c>
      <c r="I477" s="242">
        <v>44.4</v>
      </c>
      <c r="J477" s="243">
        <v>49.5</v>
      </c>
      <c r="K477" s="241">
        <v>55</v>
      </c>
      <c r="L477" s="242">
        <v>59.6</v>
      </c>
      <c r="M477" s="243">
        <v>66.5</v>
      </c>
      <c r="N477" s="241">
        <v>93.7</v>
      </c>
      <c r="O477" s="242">
        <v>101.3</v>
      </c>
      <c r="P477" s="243">
        <v>112.1</v>
      </c>
      <c r="Z477" s="244">
        <f t="shared" si="22"/>
        <v>48.100000000000414</v>
      </c>
      <c r="AA477" s="376">
        <f t="shared" si="23"/>
        <v>5.067771551781167E-5</v>
      </c>
    </row>
    <row r="478" spans="1:27">
      <c r="A478" s="244">
        <f t="shared" si="21"/>
        <v>48.200000000000415</v>
      </c>
      <c r="B478" s="241">
        <v>31</v>
      </c>
      <c r="C478" s="242">
        <v>33.5</v>
      </c>
      <c r="D478" s="243">
        <v>37.299999999999997</v>
      </c>
      <c r="E478" s="241">
        <v>35.1</v>
      </c>
      <c r="F478" s="242">
        <v>37.9</v>
      </c>
      <c r="G478" s="243">
        <v>42.2</v>
      </c>
      <c r="H478" s="241">
        <v>41.7</v>
      </c>
      <c r="I478" s="242">
        <v>45.1</v>
      </c>
      <c r="J478" s="243">
        <v>50.3</v>
      </c>
      <c r="K478" s="241">
        <v>56</v>
      </c>
      <c r="L478" s="242">
        <v>60.6</v>
      </c>
      <c r="M478" s="243">
        <v>67.5</v>
      </c>
      <c r="N478" s="241">
        <v>95.2</v>
      </c>
      <c r="O478" s="242">
        <v>102.8</v>
      </c>
      <c r="P478" s="243">
        <v>113.6</v>
      </c>
      <c r="Z478" s="244">
        <f t="shared" si="22"/>
        <v>48.200000000000415</v>
      </c>
      <c r="AA478" s="376">
        <f t="shared" si="23"/>
        <v>5.0389103786252834E-5</v>
      </c>
    </row>
    <row r="479" spans="1:27">
      <c r="A479" s="244">
        <f t="shared" si="21"/>
        <v>48.300000000000416</v>
      </c>
      <c r="B479" s="241">
        <v>31.5</v>
      </c>
      <c r="C479" s="242">
        <v>34</v>
      </c>
      <c r="D479" s="243">
        <v>37.9</v>
      </c>
      <c r="E479" s="241">
        <v>35.700000000000003</v>
      </c>
      <c r="F479" s="242">
        <v>38.5</v>
      </c>
      <c r="G479" s="243">
        <v>42.9</v>
      </c>
      <c r="H479" s="241">
        <v>42.5</v>
      </c>
      <c r="I479" s="242">
        <v>45.9</v>
      </c>
      <c r="J479" s="243">
        <v>51.1</v>
      </c>
      <c r="K479" s="241">
        <v>57</v>
      </c>
      <c r="L479" s="242">
        <v>61.6</v>
      </c>
      <c r="M479" s="243">
        <v>68.5</v>
      </c>
      <c r="N479" s="241">
        <v>96.7</v>
      </c>
      <c r="O479" s="242">
        <v>104.4</v>
      </c>
      <c r="P479" s="243">
        <v>115.1</v>
      </c>
      <c r="Z479" s="244">
        <f t="shared" si="22"/>
        <v>48.300000000000416</v>
      </c>
      <c r="AA479" s="376">
        <f t="shared" si="23"/>
        <v>5.010272877033095E-5</v>
      </c>
    </row>
    <row r="480" spans="1:27">
      <c r="A480" s="244">
        <f t="shared" si="21"/>
        <v>48.400000000000418</v>
      </c>
      <c r="B480" s="241">
        <v>32.1</v>
      </c>
      <c r="C480" s="242">
        <v>34.6</v>
      </c>
      <c r="D480" s="243">
        <v>38.5</v>
      </c>
      <c r="E480" s="241">
        <v>36.4</v>
      </c>
      <c r="F480" s="242">
        <v>39.200000000000003</v>
      </c>
      <c r="G480" s="243">
        <v>43.6</v>
      </c>
      <c r="H480" s="241">
        <v>43.3</v>
      </c>
      <c r="I480" s="242">
        <v>46.7</v>
      </c>
      <c r="J480" s="243">
        <v>51.9</v>
      </c>
      <c r="K480" s="241">
        <v>58.1</v>
      </c>
      <c r="L480" s="242">
        <v>62.7</v>
      </c>
      <c r="M480" s="243">
        <v>69.599999999999994</v>
      </c>
      <c r="N480" s="241">
        <v>98.3</v>
      </c>
      <c r="O480" s="242">
        <v>106</v>
      </c>
      <c r="P480" s="243">
        <v>116.7</v>
      </c>
      <c r="Z480" s="244">
        <f t="shared" si="22"/>
        <v>48.400000000000418</v>
      </c>
      <c r="AA480" s="376">
        <f t="shared" si="23"/>
        <v>4.9818568558499356E-5</v>
      </c>
    </row>
    <row r="481" spans="1:27">
      <c r="A481" s="244">
        <f t="shared" si="21"/>
        <v>48.500000000000419</v>
      </c>
      <c r="B481" s="241">
        <v>32.700000000000003</v>
      </c>
      <c r="C481" s="242">
        <v>35.200000000000003</v>
      </c>
      <c r="D481" s="243">
        <v>39.1</v>
      </c>
      <c r="E481" s="241">
        <v>37</v>
      </c>
      <c r="F481" s="242">
        <v>39.9</v>
      </c>
      <c r="G481" s="243">
        <v>44.3</v>
      </c>
      <c r="H481" s="241">
        <v>44.1</v>
      </c>
      <c r="I481" s="242">
        <v>47.5</v>
      </c>
      <c r="J481" s="243">
        <v>52.7</v>
      </c>
      <c r="K481" s="241">
        <v>59.1</v>
      </c>
      <c r="L481" s="242">
        <v>63.7</v>
      </c>
      <c r="M481" s="243">
        <v>70.599999999999994</v>
      </c>
      <c r="N481" s="241">
        <v>100</v>
      </c>
      <c r="O481" s="242">
        <v>107.6</v>
      </c>
      <c r="P481" s="243">
        <v>118.3</v>
      </c>
      <c r="Z481" s="244">
        <f t="shared" si="22"/>
        <v>48.500000000000419</v>
      </c>
      <c r="AA481" s="376">
        <f t="shared" si="23"/>
        <v>4.9536601498518529E-5</v>
      </c>
    </row>
    <row r="482" spans="1:27">
      <c r="A482" s="244">
        <f t="shared" si="21"/>
        <v>48.600000000000421</v>
      </c>
      <c r="B482" s="241">
        <v>33.299999999999997</v>
      </c>
      <c r="C482" s="242">
        <v>35.9</v>
      </c>
      <c r="D482" s="243">
        <v>39.799999999999997</v>
      </c>
      <c r="E482" s="241">
        <v>37.700000000000003</v>
      </c>
      <c r="F482" s="242">
        <v>40.6</v>
      </c>
      <c r="G482" s="243">
        <v>45</v>
      </c>
      <c r="H482" s="241">
        <v>44.9</v>
      </c>
      <c r="I482" s="242">
        <v>48.3</v>
      </c>
      <c r="J482" s="243">
        <v>53.6</v>
      </c>
      <c r="K482" s="241">
        <v>60.2</v>
      </c>
      <c r="L482" s="242">
        <v>64.8</v>
      </c>
      <c r="M482" s="243">
        <v>71.8</v>
      </c>
      <c r="N482" s="241">
        <v>101.6</v>
      </c>
      <c r="O482" s="242">
        <v>109.3</v>
      </c>
      <c r="P482" s="243">
        <v>120</v>
      </c>
      <c r="Z482" s="244">
        <f t="shared" si="22"/>
        <v>48.600000000000421</v>
      </c>
      <c r="AA482" s="376">
        <f t="shared" si="23"/>
        <v>4.9256806193861138E-5</v>
      </c>
    </row>
    <row r="483" spans="1:27">
      <c r="A483" s="244">
        <f t="shared" si="21"/>
        <v>48.700000000000422</v>
      </c>
      <c r="B483" s="241">
        <v>34</v>
      </c>
      <c r="C483" s="242">
        <v>36.5</v>
      </c>
      <c r="D483" s="243">
        <v>40.5</v>
      </c>
      <c r="E483" s="241">
        <v>38.5</v>
      </c>
      <c r="F483" s="242">
        <v>41.3</v>
      </c>
      <c r="G483" s="243">
        <v>45.8</v>
      </c>
      <c r="H483" s="241">
        <v>45.8</v>
      </c>
      <c r="I483" s="242">
        <v>49.2</v>
      </c>
      <c r="J483" s="243">
        <v>54.5</v>
      </c>
      <c r="K483" s="241">
        <v>61.3</v>
      </c>
      <c r="L483" s="242">
        <v>66</v>
      </c>
      <c r="M483" s="243">
        <v>72.900000000000006</v>
      </c>
      <c r="N483" s="241">
        <v>103.3</v>
      </c>
      <c r="O483" s="242">
        <v>111</v>
      </c>
      <c r="P483" s="243">
        <v>121.7</v>
      </c>
      <c r="Z483" s="244">
        <f t="shared" si="22"/>
        <v>48.700000000000422</v>
      </c>
      <c r="AA483" s="376">
        <f t="shared" si="23"/>
        <v>4.8979161500174013E-5</v>
      </c>
    </row>
    <row r="484" spans="1:27">
      <c r="A484" s="244">
        <f t="shared" si="21"/>
        <v>48.800000000000423</v>
      </c>
      <c r="B484" s="241">
        <v>34.700000000000003</v>
      </c>
      <c r="C484" s="242">
        <v>37.200000000000003</v>
      </c>
      <c r="D484" s="243">
        <v>41.1</v>
      </c>
      <c r="E484" s="241">
        <v>39.200000000000003</v>
      </c>
      <c r="F484" s="242">
        <v>42.1</v>
      </c>
      <c r="G484" s="243">
        <v>46.6</v>
      </c>
      <c r="H484" s="241">
        <v>46.7</v>
      </c>
      <c r="I484" s="242">
        <v>50.1</v>
      </c>
      <c r="J484" s="243">
        <v>55.4</v>
      </c>
      <c r="K484" s="241">
        <v>62.5</v>
      </c>
      <c r="L484" s="242">
        <v>67.2</v>
      </c>
      <c r="M484" s="243">
        <v>74.099999999999994</v>
      </c>
      <c r="N484" s="241">
        <v>105.1</v>
      </c>
      <c r="O484" s="242">
        <v>112.8</v>
      </c>
      <c r="P484" s="243">
        <v>123.5</v>
      </c>
      <c r="Z484" s="244">
        <f t="shared" si="22"/>
        <v>48.800000000000423</v>
      </c>
      <c r="AA484" s="376">
        <f t="shared" si="23"/>
        <v>4.8703646521796593E-5</v>
      </c>
    </row>
    <row r="485" spans="1:27">
      <c r="A485" s="244">
        <f t="shared" si="21"/>
        <v>48.900000000000425</v>
      </c>
      <c r="B485" s="241">
        <v>35.299999999999997</v>
      </c>
      <c r="C485" s="242">
        <v>37.9</v>
      </c>
      <c r="D485" s="243">
        <v>41.9</v>
      </c>
      <c r="E485" s="241">
        <v>40</v>
      </c>
      <c r="F485" s="242">
        <v>42.9</v>
      </c>
      <c r="G485" s="243">
        <v>47.4</v>
      </c>
      <c r="H485" s="241">
        <v>47.6</v>
      </c>
      <c r="I485" s="242">
        <v>51.1</v>
      </c>
      <c r="J485" s="243">
        <v>56.4</v>
      </c>
      <c r="K485" s="241">
        <v>63.7</v>
      </c>
      <c r="L485" s="242">
        <v>68.400000000000006</v>
      </c>
      <c r="M485" s="243">
        <v>75.400000000000006</v>
      </c>
      <c r="N485" s="241">
        <v>106.9</v>
      </c>
      <c r="O485" s="242">
        <v>114.6</v>
      </c>
      <c r="P485" s="243">
        <v>125.3</v>
      </c>
      <c r="Z485" s="244">
        <f t="shared" si="22"/>
        <v>48.900000000000425</v>
      </c>
      <c r="AA485" s="376">
        <f t="shared" si="23"/>
        <v>4.8430240608333939E-5</v>
      </c>
    </row>
    <row r="486" spans="1:27">
      <c r="A486" s="244">
        <f t="shared" si="21"/>
        <v>49.000000000000426</v>
      </c>
      <c r="B486" s="241">
        <v>36</v>
      </c>
      <c r="C486" s="242">
        <v>38.6</v>
      </c>
      <c r="D486" s="243">
        <v>42.6</v>
      </c>
      <c r="E486" s="241">
        <v>40.799999999999997</v>
      </c>
      <c r="F486" s="242">
        <v>43.7</v>
      </c>
      <c r="G486" s="243">
        <v>48.2</v>
      </c>
      <c r="H486" s="241">
        <v>48.5</v>
      </c>
      <c r="I486" s="242">
        <v>52</v>
      </c>
      <c r="J486" s="243">
        <v>57.4</v>
      </c>
      <c r="K486" s="241">
        <v>64.900000000000006</v>
      </c>
      <c r="L486" s="242">
        <v>69.599999999999994</v>
      </c>
      <c r="M486" s="243">
        <v>76.599999999999994</v>
      </c>
      <c r="N486" s="241">
        <v>108.7</v>
      </c>
      <c r="O486" s="242">
        <v>116.4</v>
      </c>
      <c r="P486" s="243">
        <v>127.1</v>
      </c>
      <c r="Z486" s="244">
        <f t="shared" si="22"/>
        <v>49.000000000000426</v>
      </c>
      <c r="AA486" s="376">
        <f t="shared" si="23"/>
        <v>4.8158923351284276E-5</v>
      </c>
    </row>
    <row r="487" spans="1:27">
      <c r="A487" s="244">
        <f t="shared" si="21"/>
        <v>49.100000000000428</v>
      </c>
      <c r="B487" s="241">
        <v>36.799999999999997</v>
      </c>
      <c r="C487" s="242">
        <v>39.4</v>
      </c>
      <c r="D487" s="243">
        <v>43.4</v>
      </c>
      <c r="E487" s="241">
        <v>41.6</v>
      </c>
      <c r="F487" s="242">
        <v>44.6</v>
      </c>
      <c r="G487" s="243">
        <v>49.1</v>
      </c>
      <c r="H487" s="241">
        <v>49.5</v>
      </c>
      <c r="I487" s="242">
        <v>53</v>
      </c>
      <c r="J487" s="243">
        <v>58.4</v>
      </c>
      <c r="K487" s="241">
        <v>66.2</v>
      </c>
      <c r="L487" s="242">
        <v>70.900000000000006</v>
      </c>
      <c r="M487" s="243">
        <v>78</v>
      </c>
      <c r="N487" s="241">
        <v>110.6</v>
      </c>
      <c r="O487" s="242">
        <v>118.3</v>
      </c>
      <c r="P487" s="243">
        <v>129</v>
      </c>
      <c r="Z487" s="244">
        <f t="shared" si="22"/>
        <v>49.100000000000428</v>
      </c>
      <c r="AA487" s="376">
        <f t="shared" si="23"/>
        <v>4.7889674580719458E-5</v>
      </c>
    </row>
    <row r="488" spans="1:27">
      <c r="A488" s="244">
        <f t="shared" si="21"/>
        <v>49.200000000000429</v>
      </c>
      <c r="B488" s="241">
        <v>37.5</v>
      </c>
      <c r="C488" s="242">
        <v>40.1</v>
      </c>
      <c r="D488" s="243">
        <v>44.2</v>
      </c>
      <c r="E488" s="241">
        <v>42.5</v>
      </c>
      <c r="F488" s="242">
        <v>45.4</v>
      </c>
      <c r="G488" s="243">
        <v>50</v>
      </c>
      <c r="H488" s="241">
        <v>50.5</v>
      </c>
      <c r="I488" s="242">
        <v>54</v>
      </c>
      <c r="J488" s="243">
        <v>59.5</v>
      </c>
      <c r="K488" s="241">
        <v>67.5</v>
      </c>
      <c r="L488" s="242">
        <v>72.3</v>
      </c>
      <c r="M488" s="243">
        <v>79.3</v>
      </c>
      <c r="N488" s="241">
        <v>112.5</v>
      </c>
      <c r="O488" s="242">
        <v>120.3</v>
      </c>
      <c r="P488" s="243">
        <v>130.9</v>
      </c>
      <c r="Z488" s="244">
        <f t="shared" si="22"/>
        <v>49.200000000000429</v>
      </c>
      <c r="AA488" s="376">
        <f t="shared" si="23"/>
        <v>4.7622474362017696E-5</v>
      </c>
    </row>
    <row r="489" spans="1:27">
      <c r="A489" s="244">
        <f t="shared" si="21"/>
        <v>49.300000000000431</v>
      </c>
      <c r="B489" s="241">
        <v>38.299999999999997</v>
      </c>
      <c r="C489" s="242">
        <v>40.9</v>
      </c>
      <c r="D489" s="243">
        <v>45</v>
      </c>
      <c r="E489" s="241">
        <v>43.4</v>
      </c>
      <c r="F489" s="242">
        <v>46.3</v>
      </c>
      <c r="G489" s="243">
        <v>50.9</v>
      </c>
      <c r="H489" s="241">
        <v>51.6</v>
      </c>
      <c r="I489" s="242">
        <v>55.1</v>
      </c>
      <c r="J489" s="243">
        <v>60.5</v>
      </c>
      <c r="K489" s="241">
        <v>68.900000000000006</v>
      </c>
      <c r="L489" s="242">
        <v>73.599999999999994</v>
      </c>
      <c r="M489" s="243">
        <v>80.7</v>
      </c>
      <c r="N489" s="241">
        <v>114.5</v>
      </c>
      <c r="O489" s="242">
        <v>122.3</v>
      </c>
      <c r="P489" s="243">
        <v>132.9</v>
      </c>
      <c r="Z489" s="244">
        <f t="shared" si="22"/>
        <v>49.300000000000431</v>
      </c>
      <c r="AA489" s="376">
        <f t="shared" si="23"/>
        <v>4.7357302992647472E-5</v>
      </c>
    </row>
    <row r="490" spans="1:27">
      <c r="A490" s="244">
        <f t="shared" si="21"/>
        <v>49.400000000000432</v>
      </c>
      <c r="B490" s="241">
        <v>39.200000000000003</v>
      </c>
      <c r="C490" s="242">
        <v>41.8</v>
      </c>
      <c r="D490" s="243">
        <v>45.9</v>
      </c>
      <c r="E490" s="241">
        <v>44.3</v>
      </c>
      <c r="F490" s="242">
        <v>47.3</v>
      </c>
      <c r="G490" s="243">
        <v>51.9</v>
      </c>
      <c r="H490" s="241">
        <v>52.7</v>
      </c>
      <c r="I490" s="242">
        <v>56.2</v>
      </c>
      <c r="J490" s="243">
        <v>61.7</v>
      </c>
      <c r="K490" s="241">
        <v>70.3</v>
      </c>
      <c r="L490" s="242">
        <v>75.099999999999994</v>
      </c>
      <c r="M490" s="243">
        <v>82.2</v>
      </c>
      <c r="N490" s="241">
        <v>116.6</v>
      </c>
      <c r="O490" s="242">
        <v>124.4</v>
      </c>
      <c r="P490" s="243">
        <v>135</v>
      </c>
      <c r="Z490" s="244">
        <f t="shared" si="22"/>
        <v>49.400000000000432</v>
      </c>
      <c r="AA490" s="376">
        <f t="shared" si="23"/>
        <v>4.7094140999001998E-5</v>
      </c>
    </row>
    <row r="491" spans="1:27">
      <c r="A491" s="244">
        <f t="shared" si="21"/>
        <v>49.500000000000433</v>
      </c>
      <c r="B491" s="241">
        <v>40</v>
      </c>
      <c r="C491" s="242">
        <v>42.7</v>
      </c>
      <c r="D491" s="243">
        <v>46.8</v>
      </c>
      <c r="E491" s="241">
        <v>45.3</v>
      </c>
      <c r="F491" s="242">
        <v>48.3</v>
      </c>
      <c r="G491" s="243">
        <v>52.9</v>
      </c>
      <c r="H491" s="241">
        <v>53.8</v>
      </c>
      <c r="I491" s="242">
        <v>57.4</v>
      </c>
      <c r="J491" s="243">
        <v>62.9</v>
      </c>
      <c r="K491" s="241">
        <v>71.7</v>
      </c>
      <c r="L491" s="242">
        <v>76.599999999999994</v>
      </c>
      <c r="M491" s="243">
        <v>83.7</v>
      </c>
      <c r="N491" s="241">
        <v>118.7</v>
      </c>
      <c r="O491" s="242">
        <v>126.5</v>
      </c>
      <c r="P491" s="243">
        <v>137.1</v>
      </c>
      <c r="Z491" s="244">
        <f t="shared" si="22"/>
        <v>49.500000000000433</v>
      </c>
      <c r="AA491" s="376">
        <f t="shared" si="23"/>
        <v>4.6832969133282957E-5</v>
      </c>
    </row>
    <row r="492" spans="1:27">
      <c r="A492" s="244">
        <f t="shared" si="21"/>
        <v>49.600000000000435</v>
      </c>
      <c r="B492" s="241">
        <v>40.9</v>
      </c>
      <c r="C492" s="242">
        <v>43.6</v>
      </c>
      <c r="D492" s="243">
        <v>47.7</v>
      </c>
      <c r="E492" s="241">
        <v>46.3</v>
      </c>
      <c r="F492" s="242">
        <v>49.3</v>
      </c>
      <c r="G492" s="243">
        <v>54</v>
      </c>
      <c r="H492" s="241">
        <v>55</v>
      </c>
      <c r="I492" s="242">
        <v>58.6</v>
      </c>
      <c r="J492" s="243">
        <v>64.099999999999994</v>
      </c>
      <c r="K492" s="241">
        <v>73.2</v>
      </c>
      <c r="L492" s="242">
        <v>78.099999999999994</v>
      </c>
      <c r="M492" s="243">
        <v>85.2</v>
      </c>
      <c r="N492" s="241">
        <v>120.8</v>
      </c>
      <c r="O492" s="242">
        <v>128.69999999999999</v>
      </c>
      <c r="P492" s="243">
        <v>139.30000000000001</v>
      </c>
      <c r="Z492" s="244">
        <f t="shared" si="22"/>
        <v>49.600000000000435</v>
      </c>
      <c r="AA492" s="376">
        <f t="shared" si="23"/>
        <v>4.657376837043299E-5</v>
      </c>
    </row>
    <row r="493" spans="1:27">
      <c r="A493" s="244">
        <f t="shared" si="21"/>
        <v>49.700000000000436</v>
      </c>
      <c r="B493" s="241">
        <v>41.8</v>
      </c>
      <c r="C493" s="242">
        <v>44.5</v>
      </c>
      <c r="D493" s="243">
        <v>48.7</v>
      </c>
      <c r="E493" s="241">
        <v>47.3</v>
      </c>
      <c r="F493" s="242">
        <v>50.4</v>
      </c>
      <c r="G493" s="243">
        <v>55.1</v>
      </c>
      <c r="H493" s="241">
        <v>56.2</v>
      </c>
      <c r="I493" s="242">
        <v>59.8</v>
      </c>
      <c r="J493" s="243">
        <v>65.400000000000006</v>
      </c>
      <c r="K493" s="241">
        <v>74.8</v>
      </c>
      <c r="L493" s="242">
        <v>79.7</v>
      </c>
      <c r="M493" s="243">
        <v>86.9</v>
      </c>
      <c r="N493" s="241">
        <v>123</v>
      </c>
      <c r="O493" s="242">
        <v>130.9</v>
      </c>
      <c r="P493" s="243">
        <v>141.5</v>
      </c>
      <c r="Z493" s="244">
        <f t="shared" si="22"/>
        <v>49.700000000000436</v>
      </c>
      <c r="AA493" s="376">
        <f t="shared" si="23"/>
        <v>4.6316519905115767E-5</v>
      </c>
    </row>
    <row r="494" spans="1:27">
      <c r="A494" s="244">
        <f t="shared" si="21"/>
        <v>49.800000000000438</v>
      </c>
      <c r="B494" s="241">
        <v>42.8</v>
      </c>
      <c r="C494" s="242">
        <v>45.5</v>
      </c>
      <c r="D494" s="243">
        <v>49.7</v>
      </c>
      <c r="E494" s="241">
        <v>48.4</v>
      </c>
      <c r="F494" s="242">
        <v>51.5</v>
      </c>
      <c r="G494" s="243">
        <v>56.2</v>
      </c>
      <c r="H494" s="241">
        <v>57.4</v>
      </c>
      <c r="I494" s="242">
        <v>61.1</v>
      </c>
      <c r="J494" s="243">
        <v>66.7</v>
      </c>
      <c r="K494" s="241">
        <v>76.400000000000006</v>
      </c>
      <c r="L494" s="242">
        <v>81.3</v>
      </c>
      <c r="M494" s="243">
        <v>88.6</v>
      </c>
      <c r="N494" s="241">
        <v>125.3</v>
      </c>
      <c r="O494" s="242">
        <v>133.19999999999999</v>
      </c>
      <c r="P494" s="243">
        <v>143.80000000000001</v>
      </c>
      <c r="Z494" s="244">
        <f t="shared" si="22"/>
        <v>49.800000000000438</v>
      </c>
      <c r="AA494" s="376">
        <f t="shared" si="23"/>
        <v>4.606120514874322E-5</v>
      </c>
    </row>
    <row r="495" spans="1:27">
      <c r="A495" s="244">
        <f t="shared" si="21"/>
        <v>49.900000000000439</v>
      </c>
      <c r="B495" s="241">
        <v>43.8</v>
      </c>
      <c r="C495" s="242">
        <v>46.5</v>
      </c>
      <c r="D495" s="243">
        <v>50.8</v>
      </c>
      <c r="E495" s="241">
        <v>49.5</v>
      </c>
      <c r="F495" s="242">
        <v>52.6</v>
      </c>
      <c r="G495" s="243">
        <v>57.4</v>
      </c>
      <c r="H495" s="241">
        <v>58.7</v>
      </c>
      <c r="I495" s="242">
        <v>62.5</v>
      </c>
      <c r="J495" s="243">
        <v>68.099999999999994</v>
      </c>
      <c r="K495" s="241">
        <v>78.099999999999994</v>
      </c>
      <c r="L495" s="242">
        <v>83.1</v>
      </c>
      <c r="M495" s="243">
        <v>90.3</v>
      </c>
      <c r="N495" s="241">
        <v>127.7</v>
      </c>
      <c r="O495" s="242">
        <v>135.6</v>
      </c>
      <c r="P495" s="243">
        <v>146.19999999999999</v>
      </c>
      <c r="Z495" s="244">
        <f t="shared" si="22"/>
        <v>49.900000000000439</v>
      </c>
      <c r="AA495" s="376">
        <f t="shared" si="23"/>
        <v>4.5807805726548622E-5</v>
      </c>
    </row>
    <row r="496" spans="1:27">
      <c r="A496" s="244">
        <f t="shared" si="21"/>
        <v>50.000000000000441</v>
      </c>
      <c r="B496" s="241">
        <v>44.8</v>
      </c>
      <c r="C496" s="242">
        <v>47.6</v>
      </c>
      <c r="D496" s="243">
        <v>51.9</v>
      </c>
      <c r="E496" s="241">
        <v>50.7</v>
      </c>
      <c r="F496" s="242">
        <v>53.8</v>
      </c>
      <c r="G496" s="243">
        <v>58.7</v>
      </c>
      <c r="H496" s="241">
        <v>60.1</v>
      </c>
      <c r="I496" s="242">
        <v>63.9</v>
      </c>
      <c r="J496" s="243">
        <v>69.599999999999994</v>
      </c>
      <c r="K496" s="241">
        <v>79.8</v>
      </c>
      <c r="L496" s="242">
        <v>84.9</v>
      </c>
      <c r="M496" s="243">
        <v>92.2</v>
      </c>
      <c r="N496" s="241">
        <v>130.1</v>
      </c>
      <c r="O496" s="242">
        <v>138.1</v>
      </c>
      <c r="P496" s="243">
        <v>148.69999999999999</v>
      </c>
      <c r="Z496" s="244">
        <f t="shared" si="22"/>
        <v>50.000000000000441</v>
      </c>
      <c r="AA496" s="376">
        <f t="shared" si="23"/>
        <v>4.5556303474705098E-5</v>
      </c>
    </row>
    <row r="497" spans="1:27">
      <c r="A497" s="244">
        <f t="shared" si="21"/>
        <v>50.100000000000442</v>
      </c>
      <c r="B497" s="241">
        <v>45.9</v>
      </c>
      <c r="C497" s="242">
        <v>48.7</v>
      </c>
      <c r="D497" s="243">
        <v>53.1</v>
      </c>
      <c r="E497" s="241">
        <v>51.9</v>
      </c>
      <c r="F497" s="242">
        <v>55.1</v>
      </c>
      <c r="G497" s="243">
        <v>60</v>
      </c>
      <c r="H497" s="241">
        <v>61.5</v>
      </c>
      <c r="I497" s="242">
        <v>65.400000000000006</v>
      </c>
      <c r="J497" s="243">
        <v>71.099999999999994</v>
      </c>
      <c r="K497" s="241">
        <v>81.7</v>
      </c>
      <c r="L497" s="242">
        <v>86.7</v>
      </c>
      <c r="M497" s="243">
        <v>94.1</v>
      </c>
      <c r="N497" s="241">
        <v>132.6</v>
      </c>
      <c r="O497" s="242">
        <v>140.69999999999999</v>
      </c>
      <c r="P497" s="243">
        <v>151.19999999999999</v>
      </c>
      <c r="Z497" s="244">
        <f t="shared" si="22"/>
        <v>50.100000000000442</v>
      </c>
      <c r="AA497" s="376">
        <f t="shared" si="23"/>
        <v>4.5306680437488536E-5</v>
      </c>
    </row>
    <row r="498" spans="1:27">
      <c r="A498" s="244">
        <f t="shared" si="21"/>
        <v>50.200000000000443</v>
      </c>
      <c r="B498" s="241">
        <v>47</v>
      </c>
      <c r="C498" s="242">
        <v>49.9</v>
      </c>
      <c r="D498" s="243">
        <v>54.3</v>
      </c>
      <c r="E498" s="241">
        <v>53.2</v>
      </c>
      <c r="F498" s="242">
        <v>56.4</v>
      </c>
      <c r="G498" s="243">
        <v>61.4</v>
      </c>
      <c r="H498" s="241">
        <v>63</v>
      </c>
      <c r="I498" s="242">
        <v>66.900000000000006</v>
      </c>
      <c r="J498" s="243">
        <v>72.7</v>
      </c>
      <c r="K498" s="241">
        <v>83.6</v>
      </c>
      <c r="L498" s="242">
        <v>88.7</v>
      </c>
      <c r="M498" s="243">
        <v>96.1</v>
      </c>
      <c r="N498" s="241">
        <v>135.19999999999999</v>
      </c>
      <c r="O498" s="242">
        <v>143.30000000000001</v>
      </c>
      <c r="P498" s="243">
        <v>153.9</v>
      </c>
      <c r="Z498" s="244">
        <f t="shared" si="22"/>
        <v>50.200000000000443</v>
      </c>
      <c r="AA498" s="376">
        <f t="shared" si="23"/>
        <v>4.505891886448438E-5</v>
      </c>
    </row>
    <row r="499" spans="1:27">
      <c r="A499" s="244">
        <f t="shared" si="21"/>
        <v>50.300000000000445</v>
      </c>
      <c r="B499" s="241">
        <v>48.3</v>
      </c>
      <c r="C499" s="242">
        <v>51.2</v>
      </c>
      <c r="D499" s="243">
        <v>55.6</v>
      </c>
      <c r="E499" s="241">
        <v>54.5</v>
      </c>
      <c r="F499" s="242">
        <v>57.8</v>
      </c>
      <c r="G499" s="243">
        <v>62.8</v>
      </c>
      <c r="H499" s="241">
        <v>64.599999999999994</v>
      </c>
      <c r="I499" s="242">
        <v>68.5</v>
      </c>
      <c r="J499" s="243">
        <v>74.400000000000006</v>
      </c>
      <c r="K499" s="241">
        <v>85.5</v>
      </c>
      <c r="L499" s="242">
        <v>90.8</v>
      </c>
      <c r="M499" s="243">
        <v>98.2</v>
      </c>
      <c r="N499" s="241">
        <v>137.80000000000001</v>
      </c>
      <c r="O499" s="242">
        <v>146.1</v>
      </c>
      <c r="P499" s="243">
        <v>156.6</v>
      </c>
      <c r="Z499" s="244">
        <f t="shared" si="22"/>
        <v>50.300000000000445</v>
      </c>
      <c r="AA499" s="376">
        <f t="shared" si="23"/>
        <v>4.481300120783712E-5</v>
      </c>
    </row>
    <row r="500" spans="1:27">
      <c r="A500" s="244">
        <f t="shared" si="21"/>
        <v>50.400000000000446</v>
      </c>
      <c r="B500" s="241">
        <v>49.5</v>
      </c>
      <c r="C500" s="242">
        <v>52.5</v>
      </c>
      <c r="D500" s="243">
        <v>57</v>
      </c>
      <c r="E500" s="241">
        <v>55.9</v>
      </c>
      <c r="F500" s="242">
        <v>59.3</v>
      </c>
      <c r="G500" s="243">
        <v>64.400000000000006</v>
      </c>
      <c r="H500" s="241">
        <v>66.3</v>
      </c>
      <c r="I500" s="242">
        <v>70.3</v>
      </c>
      <c r="J500" s="243">
        <v>76.2</v>
      </c>
      <c r="K500" s="241">
        <v>87.6</v>
      </c>
      <c r="L500" s="242">
        <v>92.9</v>
      </c>
      <c r="M500" s="243">
        <v>100.4</v>
      </c>
      <c r="N500" s="241">
        <v>140.6</v>
      </c>
      <c r="O500" s="242">
        <v>149</v>
      </c>
      <c r="P500" s="243">
        <v>159.5</v>
      </c>
      <c r="Z500" s="244">
        <f t="shared" si="22"/>
        <v>50.400000000000446</v>
      </c>
      <c r="AA500" s="376">
        <f t="shared" si="23"/>
        <v>4.4568910119542363E-5</v>
      </c>
    </row>
    <row r="501" spans="1:27">
      <c r="A501" s="244">
        <f t="shared" si="21"/>
        <v>50.500000000000448</v>
      </c>
      <c r="B501" s="241">
        <v>50.8</v>
      </c>
      <c r="C501" s="242">
        <v>53.9</v>
      </c>
      <c r="D501" s="243">
        <v>58.5</v>
      </c>
      <c r="E501" s="241">
        <v>57.4</v>
      </c>
      <c r="F501" s="242">
        <v>60.9</v>
      </c>
      <c r="G501" s="243">
        <v>66</v>
      </c>
      <c r="H501" s="241">
        <v>68</v>
      </c>
      <c r="I501" s="242">
        <v>72.099999999999994</v>
      </c>
      <c r="J501" s="243">
        <v>78.099999999999994</v>
      </c>
      <c r="K501" s="241">
        <v>89.8</v>
      </c>
      <c r="L501" s="242">
        <v>95.2</v>
      </c>
      <c r="M501" s="243">
        <v>102.8</v>
      </c>
      <c r="N501" s="241">
        <v>143.4</v>
      </c>
      <c r="O501" s="242">
        <v>151.9</v>
      </c>
      <c r="P501" s="243">
        <v>162.5</v>
      </c>
      <c r="Z501" s="244">
        <f t="shared" si="22"/>
        <v>50.500000000000448</v>
      </c>
      <c r="AA501" s="376">
        <f t="shared" si="23"/>
        <v>4.4326628448779977E-5</v>
      </c>
    </row>
    <row r="502" spans="1:27">
      <c r="A502" s="244">
        <f t="shared" si="21"/>
        <v>50.600000000000449</v>
      </c>
      <c r="B502" s="241">
        <v>52.2</v>
      </c>
      <c r="C502" s="242">
        <v>55.3</v>
      </c>
      <c r="D502" s="243">
        <v>60</v>
      </c>
      <c r="E502" s="241">
        <v>59</v>
      </c>
      <c r="F502" s="242">
        <v>62.5</v>
      </c>
      <c r="G502" s="243">
        <v>67.7</v>
      </c>
      <c r="H502" s="241">
        <v>69.8</v>
      </c>
      <c r="I502" s="242">
        <v>73.900000000000006</v>
      </c>
      <c r="J502" s="243">
        <v>80</v>
      </c>
      <c r="K502" s="241">
        <v>92</v>
      </c>
      <c r="L502" s="242">
        <v>97.5</v>
      </c>
      <c r="M502" s="243">
        <v>105.2</v>
      </c>
      <c r="N502" s="241">
        <v>146.30000000000001</v>
      </c>
      <c r="O502" s="242">
        <v>155</v>
      </c>
      <c r="P502" s="243">
        <v>165.5</v>
      </c>
      <c r="Z502" s="244">
        <f t="shared" si="22"/>
        <v>50.600000000000449</v>
      </c>
      <c r="AA502" s="376">
        <f t="shared" si="23"/>
        <v>4.4086139239288418E-5</v>
      </c>
    </row>
    <row r="503" spans="1:27">
      <c r="A503" s="244">
        <f t="shared" si="21"/>
        <v>50.70000000000045</v>
      </c>
      <c r="B503" s="241">
        <v>53.7</v>
      </c>
      <c r="C503" s="242">
        <v>56.9</v>
      </c>
      <c r="D503" s="243">
        <v>61.6</v>
      </c>
      <c r="E503" s="241">
        <v>60.6</v>
      </c>
      <c r="F503" s="242">
        <v>64.2</v>
      </c>
      <c r="G503" s="243">
        <v>69.5</v>
      </c>
      <c r="H503" s="241">
        <v>71.7</v>
      </c>
      <c r="I503" s="242">
        <v>75.900000000000006</v>
      </c>
      <c r="J503" s="243">
        <v>82.1</v>
      </c>
      <c r="K503" s="241">
        <v>94.3</v>
      </c>
      <c r="L503" s="242">
        <v>100</v>
      </c>
      <c r="M503" s="243">
        <v>107.7</v>
      </c>
      <c r="N503" s="241">
        <v>149.4</v>
      </c>
      <c r="O503" s="242">
        <v>158.1</v>
      </c>
      <c r="P503" s="243">
        <v>168.7</v>
      </c>
      <c r="Z503" s="244">
        <f t="shared" si="22"/>
        <v>50.70000000000045</v>
      </c>
      <c r="AA503" s="376">
        <f t="shared" si="23"/>
        <v>4.3847425726778756E-5</v>
      </c>
    </row>
    <row r="504" spans="1:27">
      <c r="A504" s="244">
        <f t="shared" si="21"/>
        <v>50.800000000000452</v>
      </c>
      <c r="B504" s="241">
        <v>55.2</v>
      </c>
      <c r="C504" s="242">
        <v>58.5</v>
      </c>
      <c r="D504" s="243">
        <v>63.3</v>
      </c>
      <c r="E504" s="241">
        <v>62.3</v>
      </c>
      <c r="F504" s="242">
        <v>66</v>
      </c>
      <c r="G504" s="243">
        <v>71.400000000000006</v>
      </c>
      <c r="H504" s="241">
        <v>73.599999999999994</v>
      </c>
      <c r="I504" s="242">
        <v>78</v>
      </c>
      <c r="J504" s="243">
        <v>84.3</v>
      </c>
      <c r="K504" s="241">
        <v>96.8</v>
      </c>
      <c r="L504" s="242">
        <v>102.6</v>
      </c>
      <c r="M504" s="243">
        <v>110.4</v>
      </c>
      <c r="N504" s="241">
        <v>152.5</v>
      </c>
      <c r="O504" s="242">
        <v>161.4</v>
      </c>
      <c r="P504" s="243">
        <v>172</v>
      </c>
      <c r="Z504" s="244">
        <f t="shared" si="22"/>
        <v>50.800000000000452</v>
      </c>
      <c r="AA504" s="376">
        <f t="shared" si="23"/>
        <v>4.3610471336388333E-5</v>
      </c>
    </row>
    <row r="505" spans="1:27">
      <c r="A505" s="244">
        <f t="shared" si="21"/>
        <v>50.900000000000453</v>
      </c>
      <c r="B505" s="241">
        <v>56.9</v>
      </c>
      <c r="C505" s="242">
        <v>60.3</v>
      </c>
      <c r="D505" s="243">
        <v>65.2</v>
      </c>
      <c r="E505" s="241">
        <v>64.2</v>
      </c>
      <c r="F505" s="242">
        <v>68</v>
      </c>
      <c r="G505" s="243">
        <v>73.400000000000006</v>
      </c>
      <c r="H505" s="241">
        <v>75.8</v>
      </c>
      <c r="I505" s="242">
        <v>80.3</v>
      </c>
      <c r="J505" s="243">
        <v>86.6</v>
      </c>
      <c r="K505" s="241">
        <v>99.4</v>
      </c>
      <c r="L505" s="242">
        <v>105.3</v>
      </c>
      <c r="M505" s="243">
        <v>113.3</v>
      </c>
      <c r="N505" s="241">
        <v>155.69999999999999</v>
      </c>
      <c r="O505" s="242">
        <v>164.8</v>
      </c>
      <c r="P505" s="243">
        <v>175.5</v>
      </c>
      <c r="Z505" s="244">
        <f t="shared" si="22"/>
        <v>50.900000000000453</v>
      </c>
      <c r="AA505" s="376">
        <f t="shared" si="23"/>
        <v>4.3375259680173127E-5</v>
      </c>
    </row>
    <row r="506" spans="1:27">
      <c r="A506" s="244">
        <f t="shared" si="21"/>
        <v>51.000000000000455</v>
      </c>
      <c r="B506" s="241">
        <v>58.6</v>
      </c>
      <c r="C506" s="242">
        <v>62.1</v>
      </c>
      <c r="D506" s="243">
        <v>67.2</v>
      </c>
      <c r="E506" s="241">
        <v>66.099999999999994</v>
      </c>
      <c r="F506" s="242">
        <v>70</v>
      </c>
      <c r="G506" s="243">
        <v>75.7</v>
      </c>
      <c r="H506" s="241">
        <v>78</v>
      </c>
      <c r="I506" s="242">
        <v>82.6</v>
      </c>
      <c r="J506" s="243">
        <v>89.2</v>
      </c>
      <c r="K506" s="241">
        <v>102.2</v>
      </c>
      <c r="L506" s="242">
        <v>108.2</v>
      </c>
      <c r="M506" s="243">
        <v>116.4</v>
      </c>
      <c r="N506" s="241">
        <v>159.1</v>
      </c>
      <c r="O506" s="242">
        <v>168.4</v>
      </c>
      <c r="P506" s="243">
        <v>179.2</v>
      </c>
      <c r="Z506" s="244">
        <f t="shared" si="22"/>
        <v>51.000000000000455</v>
      </c>
      <c r="AA506" s="376">
        <f t="shared" si="23"/>
        <v>4.3141774554637861E-5</v>
      </c>
    </row>
    <row r="507" spans="1:27">
      <c r="A507" s="244">
        <f t="shared" si="21"/>
        <v>51.100000000000456</v>
      </c>
      <c r="B507" s="241">
        <v>60.4</v>
      </c>
      <c r="C507" s="242">
        <v>64</v>
      </c>
      <c r="D507" s="243">
        <v>69.099999999999994</v>
      </c>
      <c r="E507" s="241">
        <v>68.099999999999994</v>
      </c>
      <c r="F507" s="242">
        <v>72.2</v>
      </c>
      <c r="G507" s="243">
        <v>77.900000000000006</v>
      </c>
      <c r="H507" s="241">
        <v>80.3</v>
      </c>
      <c r="I507" s="242">
        <v>85.1</v>
      </c>
      <c r="J507" s="243">
        <v>91.7</v>
      </c>
      <c r="K507" s="241">
        <v>105</v>
      </c>
      <c r="L507" s="242">
        <v>111.2</v>
      </c>
      <c r="M507" s="243">
        <v>119.4</v>
      </c>
      <c r="N507" s="241">
        <v>162.5</v>
      </c>
      <c r="O507" s="242">
        <v>172</v>
      </c>
      <c r="P507" s="243">
        <v>182.7</v>
      </c>
      <c r="Z507" s="244">
        <f t="shared" si="22"/>
        <v>51.100000000000456</v>
      </c>
      <c r="AA507" s="376">
        <f t="shared" si="23"/>
        <v>4.2909999938304005E-5</v>
      </c>
    </row>
    <row r="508" spans="1:27">
      <c r="A508" s="244">
        <f t="shared" si="21"/>
        <v>51.200000000000458</v>
      </c>
      <c r="B508" s="241">
        <v>62.4</v>
      </c>
      <c r="C508" s="242">
        <v>66.099999999999994</v>
      </c>
      <c r="D508" s="243">
        <v>71.3</v>
      </c>
      <c r="E508" s="241">
        <v>70.3</v>
      </c>
      <c r="F508" s="242">
        <v>74.5</v>
      </c>
      <c r="G508" s="243">
        <v>80.3</v>
      </c>
      <c r="H508" s="241">
        <v>82.8</v>
      </c>
      <c r="I508" s="242">
        <v>87.7</v>
      </c>
      <c r="J508" s="243">
        <v>94.4</v>
      </c>
      <c r="K508" s="241">
        <v>108</v>
      </c>
      <c r="L508" s="242">
        <v>114.4</v>
      </c>
      <c r="M508" s="243">
        <v>122.7</v>
      </c>
      <c r="N508" s="241">
        <v>166.1</v>
      </c>
      <c r="O508" s="242">
        <v>175.8</v>
      </c>
      <c r="P508" s="243">
        <v>186.5</v>
      </c>
      <c r="Z508" s="244">
        <f t="shared" si="22"/>
        <v>51.200000000000458</v>
      </c>
      <c r="AA508" s="376">
        <f t="shared" si="23"/>
        <v>4.2679919989313967E-5</v>
      </c>
    </row>
    <row r="509" spans="1:27">
      <c r="A509" s="244">
        <f t="shared" si="21"/>
        <v>51.300000000000459</v>
      </c>
      <c r="B509" s="241">
        <v>64.5</v>
      </c>
      <c r="C509" s="242">
        <v>68.400000000000006</v>
      </c>
      <c r="D509" s="243">
        <v>73.7</v>
      </c>
      <c r="E509" s="241">
        <v>72.599999999999994</v>
      </c>
      <c r="F509" s="242">
        <v>77</v>
      </c>
      <c r="G509" s="243">
        <v>82.9</v>
      </c>
      <c r="H509" s="241">
        <v>85.4</v>
      </c>
      <c r="I509" s="242">
        <v>90.6</v>
      </c>
      <c r="J509" s="243">
        <v>97.4</v>
      </c>
      <c r="K509" s="241">
        <v>111.1</v>
      </c>
      <c r="L509" s="242">
        <v>117.8</v>
      </c>
      <c r="M509" s="243">
        <v>126.2</v>
      </c>
      <c r="N509" s="241">
        <v>169.8</v>
      </c>
      <c r="O509" s="242">
        <v>179.8</v>
      </c>
      <c r="P509" s="243">
        <v>190.5</v>
      </c>
      <c r="Z509" s="244">
        <f t="shared" si="22"/>
        <v>51.300000000000459</v>
      </c>
      <c r="AA509" s="376">
        <f t="shared" si="23"/>
        <v>4.245151904307188E-5</v>
      </c>
    </row>
    <row r="510" spans="1:27">
      <c r="A510" s="244">
        <f t="shared" si="21"/>
        <v>51.40000000000046</v>
      </c>
      <c r="B510" s="241">
        <v>66.7</v>
      </c>
      <c r="C510" s="242">
        <v>70.8</v>
      </c>
      <c r="D510" s="243">
        <v>76.3</v>
      </c>
      <c r="E510" s="241">
        <v>75.099999999999994</v>
      </c>
      <c r="F510" s="242">
        <v>79.599999999999994</v>
      </c>
      <c r="G510" s="243">
        <v>85.8</v>
      </c>
      <c r="H510" s="241">
        <v>88.2</v>
      </c>
      <c r="I510" s="242">
        <v>93.6</v>
      </c>
      <c r="J510" s="243">
        <v>100.7</v>
      </c>
      <c r="K510" s="241">
        <v>114.5</v>
      </c>
      <c r="L510" s="242">
        <v>121.5</v>
      </c>
      <c r="M510" s="243">
        <v>130.1</v>
      </c>
      <c r="N510" s="241">
        <v>173.7</v>
      </c>
      <c r="O510" s="242">
        <v>183.9</v>
      </c>
      <c r="P510" s="243">
        <v>194.8</v>
      </c>
      <c r="Z510" s="244">
        <f t="shared" si="22"/>
        <v>51.40000000000046</v>
      </c>
      <c r="AA510" s="376">
        <f t="shared" si="23"/>
        <v>4.2224781609919678E-5</v>
      </c>
    </row>
    <row r="511" spans="1:27">
      <c r="A511" s="244">
        <f t="shared" si="21"/>
        <v>51.500000000000462</v>
      </c>
      <c r="B511" s="241">
        <v>69.2</v>
      </c>
      <c r="C511" s="242">
        <v>73.400000000000006</v>
      </c>
      <c r="D511" s="243">
        <v>79.400000000000006</v>
      </c>
      <c r="E511" s="241">
        <v>77.8</v>
      </c>
      <c r="F511" s="242">
        <v>82.5</v>
      </c>
      <c r="G511" s="243">
        <v>89.2</v>
      </c>
      <c r="H511" s="241">
        <v>91.4</v>
      </c>
      <c r="I511" s="242">
        <v>96.9</v>
      </c>
      <c r="J511" s="243">
        <v>104.5</v>
      </c>
      <c r="K511" s="241">
        <v>118.3</v>
      </c>
      <c r="L511" s="242">
        <v>125.3</v>
      </c>
      <c r="M511" s="243">
        <v>134.6</v>
      </c>
      <c r="N511" s="241">
        <v>177.9</v>
      </c>
      <c r="O511" s="242">
        <v>188.3</v>
      </c>
      <c r="P511" s="243">
        <v>199.5</v>
      </c>
      <c r="Z511" s="244">
        <f t="shared" si="22"/>
        <v>51.500000000000462</v>
      </c>
      <c r="AA511" s="376">
        <f t="shared" si="23"/>
        <v>4.1999692372848062E-5</v>
      </c>
    </row>
    <row r="512" spans="1:27">
      <c r="A512" s="244">
        <f t="shared" si="21"/>
        <v>51.600000000000463</v>
      </c>
      <c r="B512" s="241">
        <v>71.599999999999994</v>
      </c>
      <c r="C512" s="242">
        <v>76.099999999999994</v>
      </c>
      <c r="D512" s="243">
        <v>82</v>
      </c>
      <c r="E512" s="241">
        <v>80.400000000000006</v>
      </c>
      <c r="F512" s="242">
        <v>85.5</v>
      </c>
      <c r="G512" s="243">
        <v>92</v>
      </c>
      <c r="H512" s="241">
        <v>94.3</v>
      </c>
      <c r="I512" s="242">
        <v>100.2</v>
      </c>
      <c r="J512" s="243">
        <v>107.6</v>
      </c>
      <c r="K512" s="241">
        <v>121.8</v>
      </c>
      <c r="L512" s="242">
        <v>129.19999999999999</v>
      </c>
      <c r="M512" s="243">
        <v>138.30000000000001</v>
      </c>
      <c r="N512" s="241">
        <v>181.8</v>
      </c>
      <c r="O512" s="242">
        <v>192.5</v>
      </c>
      <c r="P512" s="243">
        <v>203.4</v>
      </c>
      <c r="Z512" s="244">
        <f t="shared" si="22"/>
        <v>51.600000000000463</v>
      </c>
      <c r="AA512" s="376">
        <f t="shared" si="23"/>
        <v>4.1776236185241904E-5</v>
      </c>
    </row>
    <row r="513" spans="1:27">
      <c r="A513" s="244">
        <f t="shared" si="21"/>
        <v>51.700000000000465</v>
      </c>
      <c r="B513" s="241">
        <v>74.3</v>
      </c>
      <c r="C513" s="242">
        <v>78.900000000000006</v>
      </c>
      <c r="D513" s="243">
        <v>85</v>
      </c>
      <c r="E513" s="241">
        <v>83.4</v>
      </c>
      <c r="F513" s="242">
        <v>88.6</v>
      </c>
      <c r="G513" s="243">
        <v>95.3</v>
      </c>
      <c r="H513" s="241">
        <v>97.6</v>
      </c>
      <c r="I513" s="242">
        <v>103.7</v>
      </c>
      <c r="J513" s="243">
        <v>111.3</v>
      </c>
      <c r="K513" s="241">
        <v>125.6</v>
      </c>
      <c r="L513" s="242">
        <v>133.4</v>
      </c>
      <c r="M513" s="243">
        <v>142.5</v>
      </c>
      <c r="N513" s="241">
        <v>185.9</v>
      </c>
      <c r="O513" s="242">
        <v>196.9</v>
      </c>
      <c r="P513" s="243">
        <v>207.8</v>
      </c>
      <c r="Z513" s="244">
        <f t="shared" si="22"/>
        <v>51.700000000000465</v>
      </c>
      <c r="AA513" s="376">
        <f t="shared" si="23"/>
        <v>4.1554398068659323E-5</v>
      </c>
    </row>
    <row r="514" spans="1:27">
      <c r="A514" s="244">
        <f t="shared" si="21"/>
        <v>51.800000000000466</v>
      </c>
      <c r="B514" s="241">
        <v>77.2</v>
      </c>
      <c r="C514" s="242">
        <v>82.1</v>
      </c>
      <c r="D514" s="243">
        <v>88.4</v>
      </c>
      <c r="E514" s="241">
        <v>86.5</v>
      </c>
      <c r="F514" s="242">
        <v>92.1</v>
      </c>
      <c r="G514" s="243">
        <v>99</v>
      </c>
      <c r="H514" s="241">
        <v>101.2</v>
      </c>
      <c r="I514" s="242">
        <v>107.6</v>
      </c>
      <c r="J514" s="243">
        <v>115.4</v>
      </c>
      <c r="K514" s="241">
        <v>129.80000000000001</v>
      </c>
      <c r="L514" s="242">
        <v>137.9</v>
      </c>
      <c r="M514" s="243">
        <v>147.19999999999999</v>
      </c>
      <c r="N514" s="241">
        <v>190.2</v>
      </c>
      <c r="O514" s="242">
        <v>201.6</v>
      </c>
      <c r="P514" s="243">
        <v>212.4</v>
      </c>
      <c r="Z514" s="244">
        <f t="shared" si="22"/>
        <v>51.800000000000466</v>
      </c>
      <c r="AA514" s="376">
        <f t="shared" si="23"/>
        <v>4.1334163210643894E-5</v>
      </c>
    </row>
    <row r="515" spans="1:27">
      <c r="A515" s="244">
        <f t="shared" si="21"/>
        <v>51.900000000000468</v>
      </c>
      <c r="B515" s="241">
        <v>80.400000000000006</v>
      </c>
      <c r="C515" s="242">
        <v>85.6</v>
      </c>
      <c r="D515" s="243">
        <v>92.2</v>
      </c>
      <c r="E515" s="241">
        <v>90</v>
      </c>
      <c r="F515" s="242">
        <v>95.9</v>
      </c>
      <c r="G515" s="243">
        <v>103.1</v>
      </c>
      <c r="H515" s="241">
        <v>105.1</v>
      </c>
      <c r="I515" s="242">
        <v>111.9</v>
      </c>
      <c r="J515" s="243">
        <v>120.1</v>
      </c>
      <c r="K515" s="241">
        <v>134.30000000000001</v>
      </c>
      <c r="L515" s="242">
        <v>142.80000000000001</v>
      </c>
      <c r="M515" s="243">
        <v>152.4</v>
      </c>
      <c r="N515" s="241">
        <v>194.8</v>
      </c>
      <c r="O515" s="242">
        <v>206.5</v>
      </c>
      <c r="P515" s="243">
        <v>217.4</v>
      </c>
      <c r="Z515" s="244">
        <f t="shared" si="22"/>
        <v>51.900000000000468</v>
      </c>
      <c r="AA515" s="376">
        <f t="shared" si="23"/>
        <v>4.1115516962569603E-5</v>
      </c>
    </row>
    <row r="516" spans="1:27">
      <c r="A516" s="244">
        <f t="shared" si="21"/>
        <v>52.000000000000469</v>
      </c>
      <c r="B516" s="241">
        <v>84</v>
      </c>
      <c r="C516" s="242">
        <v>89.5</v>
      </c>
      <c r="D516" s="243">
        <v>96.8</v>
      </c>
      <c r="E516" s="241">
        <v>94</v>
      </c>
      <c r="F516" s="242">
        <v>100.1</v>
      </c>
      <c r="G516" s="243">
        <v>108.2</v>
      </c>
      <c r="H516" s="241">
        <v>109.5</v>
      </c>
      <c r="I516" s="242">
        <v>116.5</v>
      </c>
      <c r="J516" s="243">
        <v>125.6</v>
      </c>
      <c r="K516" s="241">
        <v>139.30000000000001</v>
      </c>
      <c r="L516" s="242">
        <v>148</v>
      </c>
      <c r="M516" s="243">
        <v>158.6</v>
      </c>
      <c r="N516" s="241">
        <v>199.7</v>
      </c>
      <c r="O516" s="242">
        <v>211.5</v>
      </c>
      <c r="P516" s="243">
        <v>223</v>
      </c>
      <c r="Z516" s="244">
        <f t="shared" si="22"/>
        <v>52.000000000000469</v>
      </c>
      <c r="AA516" s="376">
        <f t="shared" si="23"/>
        <v>4.0898444837517733E-5</v>
      </c>
    </row>
    <row r="517" spans="1:27">
      <c r="A517" s="244">
        <f t="shared" si="21"/>
        <v>52.10000000000047</v>
      </c>
      <c r="B517" s="241">
        <v>87.4</v>
      </c>
      <c r="C517" s="242">
        <v>93.2</v>
      </c>
      <c r="D517" s="243">
        <v>100.5</v>
      </c>
      <c r="E517" s="241">
        <v>97.7</v>
      </c>
      <c r="F517" s="242">
        <v>104.2</v>
      </c>
      <c r="G517" s="243">
        <v>112.1</v>
      </c>
      <c r="H517" s="241">
        <v>113.5</v>
      </c>
      <c r="I517" s="242">
        <v>121.1</v>
      </c>
      <c r="J517" s="243">
        <v>129.9</v>
      </c>
      <c r="K517" s="241">
        <v>143.80000000000001</v>
      </c>
      <c r="L517" s="242">
        <v>153.1</v>
      </c>
      <c r="M517" s="243">
        <v>163.30000000000001</v>
      </c>
      <c r="N517" s="241">
        <v>204</v>
      </c>
      <c r="O517" s="242">
        <v>216.3</v>
      </c>
      <c r="P517" s="243">
        <v>227.3</v>
      </c>
      <c r="Z517" s="244">
        <f t="shared" si="22"/>
        <v>52.10000000000047</v>
      </c>
      <c r="AA517" s="376">
        <f t="shared" si="23"/>
        <v>4.0682932508185302E-5</v>
      </c>
    </row>
    <row r="518" spans="1:27">
      <c r="A518" s="244">
        <f t="shared" si="21"/>
        <v>52.200000000000472</v>
      </c>
      <c r="B518" s="241">
        <v>91</v>
      </c>
      <c r="C518" s="242">
        <v>97.2</v>
      </c>
      <c r="D518" s="243">
        <v>104.6</v>
      </c>
      <c r="E518" s="241">
        <v>101.6</v>
      </c>
      <c r="F518" s="242">
        <v>108.5</v>
      </c>
      <c r="G518" s="243">
        <v>116.5</v>
      </c>
      <c r="H518" s="241">
        <v>117.9</v>
      </c>
      <c r="I518" s="242">
        <v>125.8</v>
      </c>
      <c r="J518" s="243">
        <v>134.69999999999999</v>
      </c>
      <c r="K518" s="241">
        <v>148.69999999999999</v>
      </c>
      <c r="L518" s="242">
        <v>158.4</v>
      </c>
      <c r="M518" s="243">
        <v>168.6</v>
      </c>
      <c r="N518" s="241">
        <v>208.4</v>
      </c>
      <c r="O518" s="242">
        <v>221</v>
      </c>
      <c r="P518" s="243">
        <v>231.8</v>
      </c>
      <c r="Z518" s="244">
        <f t="shared" si="22"/>
        <v>52.200000000000472</v>
      </c>
      <c r="AA518" s="376">
        <f t="shared" si="23"/>
        <v>4.046896580482459E-5</v>
      </c>
    </row>
    <row r="519" spans="1:27">
      <c r="A519" s="244">
        <f t="shared" ref="A519:A582" si="24">A518+0.1</f>
        <v>52.300000000000473</v>
      </c>
      <c r="B519" s="241">
        <v>95.2</v>
      </c>
      <c r="C519" s="242">
        <v>101.7</v>
      </c>
      <c r="D519" s="243">
        <v>109.4</v>
      </c>
      <c r="E519" s="241">
        <v>106.1</v>
      </c>
      <c r="F519" s="242">
        <v>113.4</v>
      </c>
      <c r="G519" s="243">
        <v>121.6</v>
      </c>
      <c r="H519" s="241">
        <v>122.8</v>
      </c>
      <c r="I519" s="242">
        <v>131.1</v>
      </c>
      <c r="J519" s="243">
        <v>140.30000000000001</v>
      </c>
      <c r="K519" s="241">
        <v>154</v>
      </c>
      <c r="L519" s="242">
        <v>164.1</v>
      </c>
      <c r="M519" s="243">
        <v>174.6</v>
      </c>
      <c r="N519" s="241">
        <v>213.1</v>
      </c>
      <c r="O519" s="242">
        <v>226</v>
      </c>
      <c r="P519" s="243">
        <v>236.6</v>
      </c>
      <c r="Z519" s="244">
        <f t="shared" ref="Z519:Z582" si="25">Z518+0.1</f>
        <v>52.300000000000473</v>
      </c>
      <c r="AA519" s="376">
        <f t="shared" ref="AA519:AA582" si="26">T_gal(Z519)</f>
        <v>4.025653071321309E-5</v>
      </c>
    </row>
    <row r="520" spans="1:27">
      <c r="A520" s="244">
        <f t="shared" si="24"/>
        <v>52.400000000000475</v>
      </c>
      <c r="B520" s="241">
        <v>99.8</v>
      </c>
      <c r="C520" s="242">
        <v>106.8</v>
      </c>
      <c r="D520" s="243">
        <v>114.9</v>
      </c>
      <c r="E520" s="241">
        <v>111.1</v>
      </c>
      <c r="F520" s="242">
        <v>118.8</v>
      </c>
      <c r="G520" s="243">
        <v>127.6</v>
      </c>
      <c r="H520" s="241">
        <v>128.19999999999999</v>
      </c>
      <c r="I520" s="242">
        <v>137</v>
      </c>
      <c r="J520" s="243">
        <v>146.6</v>
      </c>
      <c r="K520" s="241">
        <v>159.80000000000001</v>
      </c>
      <c r="L520" s="242">
        <v>170.5</v>
      </c>
      <c r="M520" s="243">
        <v>181.2</v>
      </c>
      <c r="N520" s="241">
        <v>217.9</v>
      </c>
      <c r="O520" s="242">
        <v>231.1</v>
      </c>
      <c r="P520" s="243">
        <v>241.8</v>
      </c>
      <c r="Z520" s="244">
        <f t="shared" si="25"/>
        <v>52.400000000000475</v>
      </c>
      <c r="AA520" s="376">
        <f t="shared" si="26"/>
        <v>4.0045613372653355E-5</v>
      </c>
    </row>
    <row r="521" spans="1:27">
      <c r="A521" s="244">
        <f t="shared" si="24"/>
        <v>52.500000000000476</v>
      </c>
      <c r="B521" s="241">
        <v>105.1</v>
      </c>
      <c r="C521" s="242">
        <v>112.5</v>
      </c>
      <c r="D521" s="243">
        <v>121.7</v>
      </c>
      <c r="E521" s="241">
        <v>116.8</v>
      </c>
      <c r="F521" s="242">
        <v>124.9</v>
      </c>
      <c r="G521" s="243">
        <v>134.80000000000001</v>
      </c>
      <c r="H521" s="241">
        <v>134.4</v>
      </c>
      <c r="I521" s="242">
        <v>143.5</v>
      </c>
      <c r="J521" s="243">
        <v>154.30000000000001</v>
      </c>
      <c r="K521" s="241">
        <v>166.4</v>
      </c>
      <c r="L521" s="242">
        <v>177.3</v>
      </c>
      <c r="M521" s="243">
        <v>189.1</v>
      </c>
      <c r="N521" s="241">
        <v>223</v>
      </c>
      <c r="O521" s="242">
        <v>236.4</v>
      </c>
      <c r="P521" s="243">
        <v>247.4</v>
      </c>
      <c r="Z521" s="244">
        <f t="shared" si="25"/>
        <v>52.500000000000476</v>
      </c>
      <c r="AA521" s="376">
        <f t="shared" si="26"/>
        <v>3.983620007400246E-5</v>
      </c>
    </row>
    <row r="522" spans="1:27">
      <c r="A522" s="244">
        <f t="shared" si="24"/>
        <v>52.600000000000477</v>
      </c>
      <c r="B522" s="241">
        <v>110</v>
      </c>
      <c r="C522" s="242">
        <v>117.9</v>
      </c>
      <c r="D522" s="243">
        <v>127.2</v>
      </c>
      <c r="E522" s="241">
        <v>122</v>
      </c>
      <c r="F522" s="242">
        <v>130.6</v>
      </c>
      <c r="G522" s="243">
        <v>140.6</v>
      </c>
      <c r="H522" s="241">
        <v>139.9</v>
      </c>
      <c r="I522" s="242">
        <v>149.6</v>
      </c>
      <c r="J522" s="243">
        <v>160.4</v>
      </c>
      <c r="K522" s="241">
        <v>172.2</v>
      </c>
      <c r="L522" s="242">
        <v>183.6</v>
      </c>
      <c r="M522" s="243">
        <v>195.3</v>
      </c>
      <c r="N522" s="241">
        <v>227.4</v>
      </c>
      <c r="O522" s="242">
        <v>241</v>
      </c>
      <c r="P522" s="243">
        <v>251.6</v>
      </c>
      <c r="Z522" s="244">
        <f t="shared" si="25"/>
        <v>52.600000000000477</v>
      </c>
      <c r="AA522" s="376">
        <f t="shared" si="26"/>
        <v>3.9628277257730352E-5</v>
      </c>
    </row>
    <row r="523" spans="1:27">
      <c r="A523" s="244">
        <f t="shared" si="24"/>
        <v>52.700000000000479</v>
      </c>
      <c r="B523" s="241">
        <v>114.9</v>
      </c>
      <c r="C523" s="242">
        <v>123.2</v>
      </c>
      <c r="D523" s="243">
        <v>132.30000000000001</v>
      </c>
      <c r="E523" s="241">
        <v>127.1</v>
      </c>
      <c r="F523" s="242">
        <v>136.19999999999999</v>
      </c>
      <c r="G523" s="243">
        <v>145.9</v>
      </c>
      <c r="H523" s="241">
        <v>145.30000000000001</v>
      </c>
      <c r="I523" s="242">
        <v>155.5</v>
      </c>
      <c r="J523" s="243">
        <v>166</v>
      </c>
      <c r="K523" s="241">
        <v>177.7</v>
      </c>
      <c r="L523" s="242">
        <v>189.6</v>
      </c>
      <c r="M523" s="243">
        <v>200.8</v>
      </c>
      <c r="N523" s="241">
        <v>231.3</v>
      </c>
      <c r="O523" s="242">
        <v>245.2</v>
      </c>
      <c r="P523" s="243">
        <v>255.2</v>
      </c>
      <c r="Z523" s="244">
        <f t="shared" si="25"/>
        <v>52.700000000000479</v>
      </c>
      <c r="AA523" s="376">
        <f t="shared" si="26"/>
        <v>3.9421831512006792E-5</v>
      </c>
    </row>
    <row r="524" spans="1:27">
      <c r="A524" s="244">
        <f t="shared" si="24"/>
        <v>52.80000000000048</v>
      </c>
      <c r="B524" s="241">
        <v>120.4</v>
      </c>
      <c r="C524" s="242">
        <v>129.30000000000001</v>
      </c>
      <c r="D524" s="243">
        <v>138.6</v>
      </c>
      <c r="E524" s="241">
        <v>133</v>
      </c>
      <c r="F524" s="242">
        <v>142.6</v>
      </c>
      <c r="G524" s="243">
        <v>152.5</v>
      </c>
      <c r="H524" s="241">
        <v>151.5</v>
      </c>
      <c r="I524" s="242">
        <v>162.19999999999999</v>
      </c>
      <c r="J524" s="243">
        <v>172.8</v>
      </c>
      <c r="K524" s="241">
        <v>183.9</v>
      </c>
      <c r="L524" s="242">
        <v>196.2</v>
      </c>
      <c r="M524" s="243">
        <v>207.3</v>
      </c>
      <c r="N524" s="241">
        <v>235.4</v>
      </c>
      <c r="O524" s="242">
        <v>249.5</v>
      </c>
      <c r="P524" s="243">
        <v>259.10000000000002</v>
      </c>
      <c r="Z524" s="244">
        <f t="shared" si="25"/>
        <v>52.80000000000048</v>
      </c>
      <c r="AA524" s="376">
        <f t="shared" si="26"/>
        <v>3.9216849570816222E-5</v>
      </c>
    </row>
    <row r="525" spans="1:27">
      <c r="A525" s="244">
        <f t="shared" si="24"/>
        <v>52.900000000000482</v>
      </c>
      <c r="B525" s="241">
        <v>126.8</v>
      </c>
      <c r="C525" s="242">
        <v>136.19999999999999</v>
      </c>
      <c r="D525" s="243">
        <v>146</v>
      </c>
      <c r="E525" s="241">
        <v>139.69999999999999</v>
      </c>
      <c r="F525" s="242">
        <v>149.80000000000001</v>
      </c>
      <c r="G525" s="243">
        <v>160.19999999999999</v>
      </c>
      <c r="H525" s="241">
        <v>158.4</v>
      </c>
      <c r="I525" s="242">
        <v>169.6</v>
      </c>
      <c r="J525" s="243">
        <v>180.6</v>
      </c>
      <c r="K525" s="241">
        <v>190.6</v>
      </c>
      <c r="L525" s="242">
        <v>203.4</v>
      </c>
      <c r="M525" s="243">
        <v>214.7</v>
      </c>
      <c r="N525" s="241">
        <v>239.6</v>
      </c>
      <c r="O525" s="242">
        <v>253.7</v>
      </c>
      <c r="P525" s="243">
        <v>263.10000000000002</v>
      </c>
      <c r="Z525" s="244">
        <f t="shared" si="25"/>
        <v>52.900000000000482</v>
      </c>
      <c r="AA525" s="376">
        <f t="shared" si="26"/>
        <v>3.9013318312100271E-5</v>
      </c>
    </row>
    <row r="526" spans="1:27">
      <c r="A526" s="244">
        <f t="shared" si="24"/>
        <v>53.000000000000483</v>
      </c>
      <c r="B526" s="241">
        <v>134.30000000000001</v>
      </c>
      <c r="C526" s="242">
        <v>144.1</v>
      </c>
      <c r="D526" s="243">
        <v>155.19999999999999</v>
      </c>
      <c r="E526" s="241">
        <v>147.4</v>
      </c>
      <c r="F526" s="242">
        <v>157.9</v>
      </c>
      <c r="G526" s="243">
        <v>169.6</v>
      </c>
      <c r="H526" s="241">
        <v>166.3</v>
      </c>
      <c r="I526" s="242">
        <v>177.9</v>
      </c>
      <c r="J526" s="243">
        <v>190</v>
      </c>
      <c r="K526" s="241">
        <v>198.1</v>
      </c>
      <c r="L526" s="242">
        <v>211.1</v>
      </c>
      <c r="M526" s="243">
        <v>223.2</v>
      </c>
      <c r="N526" s="241">
        <v>243.7</v>
      </c>
      <c r="O526" s="242">
        <v>257.89999999999998</v>
      </c>
      <c r="P526" s="243">
        <v>267.2</v>
      </c>
      <c r="Z526" s="244">
        <f t="shared" si="25"/>
        <v>53.000000000000483</v>
      </c>
      <c r="AA526" s="376">
        <f t="shared" si="26"/>
        <v>3.8811224755927402E-5</v>
      </c>
    </row>
    <row r="527" spans="1:27">
      <c r="A527" s="244">
        <f t="shared" si="24"/>
        <v>53.100000000000485</v>
      </c>
      <c r="B527" s="241">
        <v>141.80000000000001</v>
      </c>
      <c r="C527" s="242">
        <v>151.6</v>
      </c>
      <c r="D527" s="243">
        <v>164.2</v>
      </c>
      <c r="E527" s="241">
        <v>155.1</v>
      </c>
      <c r="F527" s="242">
        <v>165.7</v>
      </c>
      <c r="G527" s="243">
        <v>178.6</v>
      </c>
      <c r="H527" s="241">
        <v>174.1</v>
      </c>
      <c r="I527" s="242">
        <v>185.6</v>
      </c>
      <c r="J527" s="243">
        <v>198.9</v>
      </c>
      <c r="K527" s="241">
        <v>205.2</v>
      </c>
      <c r="L527" s="242">
        <v>218.1</v>
      </c>
      <c r="M527" s="243">
        <v>230.9</v>
      </c>
      <c r="N527" s="241">
        <v>247.3</v>
      </c>
      <c r="O527" s="242">
        <v>261.39999999999998</v>
      </c>
      <c r="P527" s="243">
        <v>270.5</v>
      </c>
      <c r="Z527" s="244">
        <f t="shared" si="25"/>
        <v>53.100000000000485</v>
      </c>
      <c r="AA527" s="376">
        <f t="shared" si="26"/>
        <v>3.8610556062689172E-5</v>
      </c>
    </row>
    <row r="528" spans="1:27">
      <c r="A528" s="244">
        <f t="shared" si="24"/>
        <v>53.200000000000486</v>
      </c>
      <c r="B528" s="241">
        <v>147.1</v>
      </c>
      <c r="C528" s="242">
        <v>157.80000000000001</v>
      </c>
      <c r="D528" s="243">
        <v>168.8</v>
      </c>
      <c r="E528" s="241">
        <v>160.5</v>
      </c>
      <c r="F528" s="242">
        <v>172</v>
      </c>
      <c r="G528" s="243">
        <v>183.3</v>
      </c>
      <c r="H528" s="241">
        <v>179.5</v>
      </c>
      <c r="I528" s="242">
        <v>191.9</v>
      </c>
      <c r="J528" s="243">
        <v>203.5</v>
      </c>
      <c r="K528" s="241">
        <v>210</v>
      </c>
      <c r="L528" s="242">
        <v>223.6</v>
      </c>
      <c r="M528" s="243">
        <v>234.8</v>
      </c>
      <c r="N528" s="241">
        <v>249.7</v>
      </c>
      <c r="O528" s="242">
        <v>264</v>
      </c>
      <c r="P528" s="243">
        <v>272.39999999999998</v>
      </c>
      <c r="Z528" s="244">
        <f t="shared" si="25"/>
        <v>53.200000000000486</v>
      </c>
      <c r="AA528" s="376">
        <f t="shared" si="26"/>
        <v>3.84112995313227E-5</v>
      </c>
    </row>
    <row r="529" spans="1:27">
      <c r="A529" s="244">
        <f t="shared" si="24"/>
        <v>53.300000000000487</v>
      </c>
      <c r="B529" s="241">
        <v>153.80000000000001</v>
      </c>
      <c r="C529" s="242">
        <v>165</v>
      </c>
      <c r="D529" s="243">
        <v>175.8</v>
      </c>
      <c r="E529" s="241">
        <v>167.3</v>
      </c>
      <c r="F529" s="242">
        <v>179.2</v>
      </c>
      <c r="G529" s="243">
        <v>190.3</v>
      </c>
      <c r="H529" s="241">
        <v>186.2</v>
      </c>
      <c r="I529" s="242">
        <v>198.9</v>
      </c>
      <c r="J529" s="243">
        <v>210.2</v>
      </c>
      <c r="K529" s="241">
        <v>215.8</v>
      </c>
      <c r="L529" s="242">
        <v>229.6</v>
      </c>
      <c r="M529" s="243">
        <v>240.4</v>
      </c>
      <c r="N529" s="241">
        <v>252.3</v>
      </c>
      <c r="O529" s="242">
        <v>266.60000000000002</v>
      </c>
      <c r="P529" s="243">
        <v>274.5</v>
      </c>
      <c r="Z529" s="244">
        <f t="shared" si="25"/>
        <v>53.300000000000487</v>
      </c>
      <c r="AA529" s="376">
        <f t="shared" si="26"/>
        <v>3.8213442597559116E-5</v>
      </c>
    </row>
    <row r="530" spans="1:27">
      <c r="A530" s="244">
        <f t="shared" si="24"/>
        <v>53.400000000000489</v>
      </c>
      <c r="B530" s="241">
        <v>161.6</v>
      </c>
      <c r="C530" s="242">
        <v>173.3</v>
      </c>
      <c r="D530" s="243">
        <v>184.5</v>
      </c>
      <c r="E530" s="241">
        <v>175.1</v>
      </c>
      <c r="F530" s="242">
        <v>187.4</v>
      </c>
      <c r="G530" s="243">
        <v>198.8</v>
      </c>
      <c r="H530" s="241">
        <v>193.7</v>
      </c>
      <c r="I530" s="242">
        <v>206.8</v>
      </c>
      <c r="J530" s="243">
        <v>218.2</v>
      </c>
      <c r="K530" s="241">
        <v>222.1</v>
      </c>
      <c r="L530" s="242">
        <v>236</v>
      </c>
      <c r="M530" s="243">
        <v>246.6</v>
      </c>
      <c r="N530" s="241">
        <v>254.7</v>
      </c>
      <c r="O530" s="242">
        <v>269</v>
      </c>
      <c r="P530" s="243">
        <v>276.60000000000002</v>
      </c>
      <c r="Z530" s="244">
        <f t="shared" si="25"/>
        <v>53.400000000000489</v>
      </c>
      <c r="AA530" s="376">
        <f t="shared" si="26"/>
        <v>3.8016972832197086E-5</v>
      </c>
    </row>
    <row r="531" spans="1:27">
      <c r="A531" s="244">
        <f t="shared" si="24"/>
        <v>53.50000000000049</v>
      </c>
      <c r="B531" s="241">
        <v>170.7</v>
      </c>
      <c r="C531" s="242">
        <v>182.7</v>
      </c>
      <c r="D531" s="243">
        <v>194.8</v>
      </c>
      <c r="E531" s="241">
        <v>184.1</v>
      </c>
      <c r="F531" s="242">
        <v>196.6</v>
      </c>
      <c r="G531" s="243">
        <v>208.9</v>
      </c>
      <c r="H531" s="241">
        <v>202.1</v>
      </c>
      <c r="I531" s="242">
        <v>215.4</v>
      </c>
      <c r="J531" s="243">
        <v>227.3</v>
      </c>
      <c r="K531" s="241">
        <v>228.7</v>
      </c>
      <c r="L531" s="242">
        <v>242.7</v>
      </c>
      <c r="M531" s="243">
        <v>253.3</v>
      </c>
      <c r="N531" s="241">
        <v>257</v>
      </c>
      <c r="O531" s="242">
        <v>271.2</v>
      </c>
      <c r="P531" s="243">
        <v>278.5</v>
      </c>
      <c r="Z531" s="244">
        <f t="shared" si="25"/>
        <v>53.50000000000049</v>
      </c>
      <c r="AA531" s="376">
        <f t="shared" si="26"/>
        <v>3.7821877939401648E-5</v>
      </c>
    </row>
    <row r="532" spans="1:27">
      <c r="A532" s="244">
        <f t="shared" si="24"/>
        <v>53.600000000000492</v>
      </c>
      <c r="B532" s="241">
        <v>183.2</v>
      </c>
      <c r="C532" s="242">
        <v>192.2</v>
      </c>
      <c r="D532" s="243">
        <v>209.3</v>
      </c>
      <c r="E532" s="241">
        <v>196.1</v>
      </c>
      <c r="F532" s="242">
        <v>205.8</v>
      </c>
      <c r="G532" s="243">
        <v>222.4</v>
      </c>
      <c r="H532" s="241">
        <v>213</v>
      </c>
      <c r="I532" s="242">
        <v>223.7</v>
      </c>
      <c r="J532" s="243">
        <v>239.1</v>
      </c>
      <c r="K532" s="241">
        <v>236.5</v>
      </c>
      <c r="L532" s="242">
        <v>248.7</v>
      </c>
      <c r="M532" s="243">
        <v>261.10000000000002</v>
      </c>
      <c r="N532" s="241">
        <v>259.10000000000002</v>
      </c>
      <c r="O532" s="242">
        <v>272.89999999999998</v>
      </c>
      <c r="P532" s="243">
        <v>280.2</v>
      </c>
      <c r="Z532" s="244">
        <f t="shared" si="25"/>
        <v>53.600000000000492</v>
      </c>
      <c r="AA532" s="376">
        <f t="shared" si="26"/>
        <v>3.762814575502729E-5</v>
      </c>
    </row>
    <row r="533" spans="1:27">
      <c r="A533" s="244">
        <f t="shared" si="24"/>
        <v>53.700000000000493</v>
      </c>
      <c r="B533" s="241">
        <v>185.8</v>
      </c>
      <c r="C533" s="242">
        <v>198.4</v>
      </c>
      <c r="D533" s="243">
        <v>210.4</v>
      </c>
      <c r="E533" s="241">
        <v>198.6</v>
      </c>
      <c r="F533" s="242">
        <v>211.7</v>
      </c>
      <c r="G533" s="243">
        <v>223.6</v>
      </c>
      <c r="H533" s="241">
        <v>215.4</v>
      </c>
      <c r="I533" s="242">
        <v>229</v>
      </c>
      <c r="J533" s="243">
        <v>240.3</v>
      </c>
      <c r="K533" s="241">
        <v>238.5</v>
      </c>
      <c r="L533" s="242">
        <v>252.5</v>
      </c>
      <c r="M533" s="243">
        <v>262.2</v>
      </c>
      <c r="N533" s="241">
        <v>259.89999999999998</v>
      </c>
      <c r="O533" s="242">
        <v>274.10000000000002</v>
      </c>
      <c r="P533" s="243">
        <v>280.8</v>
      </c>
      <c r="Z533" s="244">
        <f t="shared" si="25"/>
        <v>53.700000000000493</v>
      </c>
      <c r="AA533" s="376">
        <f t="shared" si="26"/>
        <v>3.7435764244965425E-5</v>
      </c>
    </row>
    <row r="534" spans="1:27">
      <c r="A534" s="244">
        <f t="shared" si="24"/>
        <v>53.800000000000495</v>
      </c>
      <c r="B534" s="241">
        <v>192.2</v>
      </c>
      <c r="C534" s="242">
        <v>205.1</v>
      </c>
      <c r="D534" s="243">
        <v>216.4</v>
      </c>
      <c r="E534" s="241">
        <v>204.7</v>
      </c>
      <c r="F534" s="242">
        <v>218.1</v>
      </c>
      <c r="G534" s="243">
        <v>229.1</v>
      </c>
      <c r="H534" s="241">
        <v>220.8</v>
      </c>
      <c r="I534" s="242">
        <v>234.6</v>
      </c>
      <c r="J534" s="243">
        <v>245.1</v>
      </c>
      <c r="K534" s="241">
        <v>242.2</v>
      </c>
      <c r="L534" s="242">
        <v>256.3</v>
      </c>
      <c r="M534" s="243">
        <v>265.3</v>
      </c>
      <c r="N534" s="241">
        <v>260.89999999999998</v>
      </c>
      <c r="O534" s="242">
        <v>275.2</v>
      </c>
      <c r="P534" s="243">
        <v>281.60000000000002</v>
      </c>
      <c r="Z534" s="244">
        <f t="shared" si="25"/>
        <v>53.800000000000495</v>
      </c>
      <c r="AA534" s="376">
        <f t="shared" si="26"/>
        <v>3.7244721503515527E-5</v>
      </c>
    </row>
    <row r="535" spans="1:27">
      <c r="A535" s="244">
        <f t="shared" si="24"/>
        <v>53.900000000000496</v>
      </c>
      <c r="B535" s="241">
        <v>199.9</v>
      </c>
      <c r="C535" s="242">
        <v>213</v>
      </c>
      <c r="D535" s="243">
        <v>224</v>
      </c>
      <c r="E535" s="241">
        <v>211.9</v>
      </c>
      <c r="F535" s="242">
        <v>225.3</v>
      </c>
      <c r="G535" s="243">
        <v>236.2</v>
      </c>
      <c r="H535" s="241">
        <v>226.9</v>
      </c>
      <c r="I535" s="242">
        <v>240.8</v>
      </c>
      <c r="J535" s="243">
        <v>250.9</v>
      </c>
      <c r="K535" s="241">
        <v>246.2</v>
      </c>
      <c r="L535" s="242">
        <v>260.2</v>
      </c>
      <c r="M535" s="243">
        <v>268.8</v>
      </c>
      <c r="N535" s="241">
        <v>261.89999999999998</v>
      </c>
      <c r="O535" s="242">
        <v>276.10000000000002</v>
      </c>
      <c r="P535" s="243">
        <v>282.3</v>
      </c>
      <c r="Z535" s="244">
        <f t="shared" si="25"/>
        <v>53.900000000000496</v>
      </c>
      <c r="AA535" s="376">
        <f t="shared" si="26"/>
        <v>3.7055005751779644E-5</v>
      </c>
    </row>
    <row r="536" spans="1:27">
      <c r="A536" s="244">
        <f t="shared" si="24"/>
        <v>54.000000000000497</v>
      </c>
      <c r="B536" s="241">
        <v>208.5</v>
      </c>
      <c r="C536" s="242">
        <v>221.7</v>
      </c>
      <c r="D536" s="243">
        <v>233.1</v>
      </c>
      <c r="E536" s="241">
        <v>219.8</v>
      </c>
      <c r="F536" s="242">
        <v>233.3</v>
      </c>
      <c r="G536" s="243">
        <v>244.2</v>
      </c>
      <c r="H536" s="241">
        <v>233.4</v>
      </c>
      <c r="I536" s="242">
        <v>247.2</v>
      </c>
      <c r="J536" s="243">
        <v>257.2</v>
      </c>
      <c r="K536" s="241">
        <v>250</v>
      </c>
      <c r="L536" s="242">
        <v>264</v>
      </c>
      <c r="M536" s="243">
        <v>272.3</v>
      </c>
      <c r="N536" s="241">
        <v>262.60000000000002</v>
      </c>
      <c r="O536" s="242">
        <v>276.89999999999998</v>
      </c>
      <c r="P536" s="243">
        <v>283</v>
      </c>
      <c r="Z536" s="244">
        <f t="shared" si="25"/>
        <v>54.000000000000497</v>
      </c>
      <c r="AA536" s="376">
        <f t="shared" si="26"/>
        <v>3.686660533607995E-5</v>
      </c>
    </row>
    <row r="537" spans="1:27">
      <c r="A537" s="244">
        <f t="shared" si="24"/>
        <v>54.100000000000499</v>
      </c>
      <c r="B537" s="241">
        <v>219.1</v>
      </c>
      <c r="C537" s="242">
        <v>230.7</v>
      </c>
      <c r="D537" s="243">
        <v>244.4</v>
      </c>
      <c r="E537" s="241">
        <v>229</v>
      </c>
      <c r="F537" s="242">
        <v>241.2</v>
      </c>
      <c r="G537" s="243">
        <v>253.8</v>
      </c>
      <c r="H537" s="241">
        <v>240.7</v>
      </c>
      <c r="I537" s="242">
        <v>253.4</v>
      </c>
      <c r="J537" s="243">
        <v>264.3</v>
      </c>
      <c r="K537" s="241">
        <v>253.9</v>
      </c>
      <c r="L537" s="242">
        <v>267.39999999999998</v>
      </c>
      <c r="M537" s="243">
        <v>275.60000000000002</v>
      </c>
      <c r="N537" s="241">
        <v>263.3</v>
      </c>
      <c r="O537" s="242">
        <v>277.5</v>
      </c>
      <c r="P537" s="243">
        <v>283.5</v>
      </c>
      <c r="Z537" s="244">
        <f t="shared" si="25"/>
        <v>54.100000000000499</v>
      </c>
      <c r="AA537" s="376">
        <f t="shared" si="26"/>
        <v>3.667950872639891E-5</v>
      </c>
    </row>
    <row r="538" spans="1:27">
      <c r="A538" s="244">
        <f t="shared" si="24"/>
        <v>54.2000000000005</v>
      </c>
      <c r="B538" s="241">
        <v>223.3</v>
      </c>
      <c r="C538" s="242">
        <v>236.2</v>
      </c>
      <c r="D538" s="243">
        <v>247.6</v>
      </c>
      <c r="E538" s="241">
        <v>232.7</v>
      </c>
      <c r="F538" s="242">
        <v>245.9</v>
      </c>
      <c r="G538" s="243">
        <v>256.60000000000002</v>
      </c>
      <c r="H538" s="241">
        <v>243.5</v>
      </c>
      <c r="I538" s="242">
        <v>257.10000000000002</v>
      </c>
      <c r="J538" s="243">
        <v>266.5</v>
      </c>
      <c r="K538" s="241">
        <v>255.5</v>
      </c>
      <c r="L538" s="242">
        <v>269.3</v>
      </c>
      <c r="M538" s="243">
        <v>276.89999999999998</v>
      </c>
      <c r="N538" s="241">
        <v>263.7</v>
      </c>
      <c r="O538" s="242">
        <v>278</v>
      </c>
      <c r="P538" s="243">
        <v>283.89999999999998</v>
      </c>
      <c r="Z538" s="244">
        <f t="shared" si="25"/>
        <v>54.2000000000005</v>
      </c>
      <c r="AA538" s="376">
        <f t="shared" si="26"/>
        <v>3.649370451484172E-5</v>
      </c>
    </row>
    <row r="539" spans="1:27">
      <c r="A539" s="244">
        <f t="shared" si="24"/>
        <v>54.300000000000502</v>
      </c>
      <c r="B539" s="241">
        <v>227.2</v>
      </c>
      <c r="C539" s="242">
        <v>240.6</v>
      </c>
      <c r="D539" s="243">
        <v>250.6</v>
      </c>
      <c r="E539" s="241">
        <v>236.1</v>
      </c>
      <c r="F539" s="242">
        <v>249.7</v>
      </c>
      <c r="G539" s="243">
        <v>259.10000000000002</v>
      </c>
      <c r="H539" s="241">
        <v>246.2</v>
      </c>
      <c r="I539" s="242">
        <v>259.89999999999998</v>
      </c>
      <c r="J539" s="243">
        <v>268.39999999999998</v>
      </c>
      <c r="K539" s="241">
        <v>257</v>
      </c>
      <c r="L539" s="242">
        <v>270.89999999999998</v>
      </c>
      <c r="M539" s="243">
        <v>278</v>
      </c>
      <c r="N539" s="241">
        <v>264.10000000000002</v>
      </c>
      <c r="O539" s="242">
        <v>278.5</v>
      </c>
      <c r="P539" s="243">
        <v>284.2</v>
      </c>
      <c r="Z539" s="244">
        <f t="shared" si="25"/>
        <v>54.300000000000502</v>
      </c>
      <c r="AA539" s="376">
        <f t="shared" si="26"/>
        <v>3.6309181414120665E-5</v>
      </c>
    </row>
    <row r="540" spans="1:27">
      <c r="A540" s="244">
        <f t="shared" si="24"/>
        <v>54.400000000000503</v>
      </c>
      <c r="B540" s="241">
        <v>232.4</v>
      </c>
      <c r="C540" s="242">
        <v>245.8</v>
      </c>
      <c r="D540" s="243">
        <v>255.3</v>
      </c>
      <c r="E540" s="241">
        <v>240.5</v>
      </c>
      <c r="F540" s="242">
        <v>254.1</v>
      </c>
      <c r="G540" s="243">
        <v>262.89999999999998</v>
      </c>
      <c r="H540" s="241">
        <v>249.4</v>
      </c>
      <c r="I540" s="242">
        <v>263.10000000000002</v>
      </c>
      <c r="J540" s="243">
        <v>271.10000000000002</v>
      </c>
      <c r="K540" s="241">
        <v>258.5</v>
      </c>
      <c r="L540" s="242">
        <v>272.39999999999998</v>
      </c>
      <c r="M540" s="243">
        <v>279.2</v>
      </c>
      <c r="N540" s="241">
        <v>264.5</v>
      </c>
      <c r="O540" s="242">
        <v>278.89999999999998</v>
      </c>
      <c r="P540" s="243">
        <v>284.5</v>
      </c>
      <c r="Z540" s="244">
        <f t="shared" si="25"/>
        <v>54.400000000000503</v>
      </c>
      <c r="AA540" s="376">
        <f t="shared" si="26"/>
        <v>3.6125928256061017E-5</v>
      </c>
    </row>
    <row r="541" spans="1:27">
      <c r="A541" s="244">
        <f t="shared" si="24"/>
        <v>54.500000000000504</v>
      </c>
      <c r="B541" s="241">
        <v>238.1</v>
      </c>
      <c r="C541" s="242">
        <v>251.4</v>
      </c>
      <c r="D541" s="243">
        <v>260.60000000000002</v>
      </c>
      <c r="E541" s="241">
        <v>245.1</v>
      </c>
      <c r="F541" s="242">
        <v>258.60000000000002</v>
      </c>
      <c r="G541" s="243">
        <v>267.2</v>
      </c>
      <c r="H541" s="241">
        <v>252.6</v>
      </c>
      <c r="I541" s="242">
        <v>266.2</v>
      </c>
      <c r="J541" s="243">
        <v>273.89999999999998</v>
      </c>
      <c r="K541" s="241">
        <v>259.89999999999998</v>
      </c>
      <c r="L541" s="242">
        <v>273.8</v>
      </c>
      <c r="M541" s="243">
        <v>280.39999999999998</v>
      </c>
      <c r="N541" s="241">
        <v>264.8</v>
      </c>
      <c r="O541" s="242">
        <v>279.2</v>
      </c>
      <c r="P541" s="243">
        <v>284.8</v>
      </c>
      <c r="Z541" s="244">
        <f t="shared" si="25"/>
        <v>54.500000000000504</v>
      </c>
      <c r="AA541" s="376">
        <f t="shared" si="26"/>
        <v>3.5943933990128129E-5</v>
      </c>
    </row>
    <row r="542" spans="1:27">
      <c r="A542" s="244">
        <f t="shared" si="24"/>
        <v>54.600000000000506</v>
      </c>
      <c r="B542" s="241">
        <v>244.1</v>
      </c>
      <c r="C542" s="242">
        <v>257</v>
      </c>
      <c r="D542" s="243">
        <v>266.3</v>
      </c>
      <c r="E542" s="241">
        <v>249.8</v>
      </c>
      <c r="F542" s="242">
        <v>262.89999999999998</v>
      </c>
      <c r="G542" s="243">
        <v>271.39999999999998</v>
      </c>
      <c r="H542" s="241">
        <v>255.5</v>
      </c>
      <c r="I542" s="242">
        <v>269</v>
      </c>
      <c r="J542" s="243">
        <v>276.5</v>
      </c>
      <c r="K542" s="241">
        <v>261.10000000000002</v>
      </c>
      <c r="L542" s="242">
        <v>275</v>
      </c>
      <c r="M542" s="243">
        <v>281.39999999999998</v>
      </c>
      <c r="N542" s="241">
        <v>265.10000000000002</v>
      </c>
      <c r="O542" s="242">
        <v>279.5</v>
      </c>
      <c r="P542" s="243">
        <v>285.10000000000002</v>
      </c>
      <c r="Z542" s="244">
        <f t="shared" si="25"/>
        <v>54.600000000000506</v>
      </c>
      <c r="AA542" s="376">
        <f t="shared" si="26"/>
        <v>3.5763187681975467E-5</v>
      </c>
    </row>
    <row r="543" spans="1:27">
      <c r="A543" s="244">
        <f t="shared" si="24"/>
        <v>54.700000000000507</v>
      </c>
      <c r="B543" s="241">
        <v>248.7</v>
      </c>
      <c r="C543" s="242">
        <v>261</v>
      </c>
      <c r="D543" s="243">
        <v>270.5</v>
      </c>
      <c r="E543" s="241">
        <v>253.2</v>
      </c>
      <c r="F543" s="242">
        <v>265.89999999999998</v>
      </c>
      <c r="G543" s="243">
        <v>274.39999999999998</v>
      </c>
      <c r="H543" s="241">
        <v>257.7</v>
      </c>
      <c r="I543" s="242">
        <v>271</v>
      </c>
      <c r="J543" s="243">
        <v>278.3</v>
      </c>
      <c r="K543" s="241">
        <v>261.89999999999998</v>
      </c>
      <c r="L543" s="242">
        <v>275.8</v>
      </c>
      <c r="M543" s="243">
        <v>282.10000000000002</v>
      </c>
      <c r="N543" s="241">
        <v>265.3</v>
      </c>
      <c r="O543" s="242">
        <v>279.8</v>
      </c>
      <c r="P543" s="243">
        <v>285.3</v>
      </c>
      <c r="Z543" s="244">
        <f t="shared" si="25"/>
        <v>54.700000000000507</v>
      </c>
      <c r="AA543" s="376">
        <f t="shared" si="26"/>
        <v>3.558367851201311E-5</v>
      </c>
    </row>
    <row r="544" spans="1:27">
      <c r="A544" s="244">
        <f t="shared" si="24"/>
        <v>54.800000000000509</v>
      </c>
      <c r="B544" s="241">
        <v>249.8</v>
      </c>
      <c r="C544" s="242">
        <v>263</v>
      </c>
      <c r="D544" s="243">
        <v>271</v>
      </c>
      <c r="E544" s="241">
        <v>254.1</v>
      </c>
      <c r="F544" s="242">
        <v>267.60000000000002</v>
      </c>
      <c r="G544" s="243">
        <v>275</v>
      </c>
      <c r="H544" s="241">
        <v>258.39999999999998</v>
      </c>
      <c r="I544" s="242">
        <v>272.10000000000002</v>
      </c>
      <c r="J544" s="243">
        <v>278.89999999999998</v>
      </c>
      <c r="K544" s="241">
        <v>262.39999999999998</v>
      </c>
      <c r="L544" s="242">
        <v>276.5</v>
      </c>
      <c r="M544" s="243">
        <v>282.5</v>
      </c>
      <c r="N544" s="241">
        <v>265.5</v>
      </c>
      <c r="O544" s="242">
        <v>280</v>
      </c>
      <c r="P544" s="243">
        <v>285.5</v>
      </c>
      <c r="Z544" s="244">
        <f t="shared" si="25"/>
        <v>54.800000000000509</v>
      </c>
      <c r="AA544" s="376">
        <f t="shared" si="26"/>
        <v>3.5405395773996533E-5</v>
      </c>
    </row>
    <row r="545" spans="1:27">
      <c r="A545" s="244">
        <f t="shared" si="24"/>
        <v>54.90000000000051</v>
      </c>
      <c r="B545" s="241">
        <v>252</v>
      </c>
      <c r="C545" s="242">
        <v>265.3</v>
      </c>
      <c r="D545" s="243">
        <v>272.8</v>
      </c>
      <c r="E545" s="241">
        <v>255.8</v>
      </c>
      <c r="F545" s="242">
        <v>269.3</v>
      </c>
      <c r="G545" s="243">
        <v>276.39999999999998</v>
      </c>
      <c r="H545" s="241">
        <v>259.5</v>
      </c>
      <c r="I545" s="242">
        <v>273.2</v>
      </c>
      <c r="J545" s="243">
        <v>279.8</v>
      </c>
      <c r="K545" s="241">
        <v>263</v>
      </c>
      <c r="L545" s="242">
        <v>277</v>
      </c>
      <c r="M545" s="243">
        <v>283</v>
      </c>
      <c r="N545" s="241">
        <v>265.7</v>
      </c>
      <c r="O545" s="242">
        <v>280.2</v>
      </c>
      <c r="P545" s="243">
        <v>285.7</v>
      </c>
      <c r="Z545" s="244">
        <f t="shared" si="25"/>
        <v>54.90000000000051</v>
      </c>
      <c r="AA545" s="376">
        <f t="shared" si="26"/>
        <v>3.5228328873635162E-5</v>
      </c>
    </row>
    <row r="546" spans="1:27">
      <c r="A546" s="244">
        <f t="shared" si="24"/>
        <v>55.000000000000512</v>
      </c>
      <c r="B546" s="241">
        <v>254.4</v>
      </c>
      <c r="C546" s="242">
        <v>267.7</v>
      </c>
      <c r="D546" s="243">
        <v>274.89999999999998</v>
      </c>
      <c r="E546" s="241">
        <v>257.5</v>
      </c>
      <c r="F546" s="242">
        <v>271</v>
      </c>
      <c r="G546" s="243">
        <v>277.89999999999998</v>
      </c>
      <c r="H546" s="241">
        <v>260.60000000000002</v>
      </c>
      <c r="I546" s="242">
        <v>274.3</v>
      </c>
      <c r="J546" s="243">
        <v>280.7</v>
      </c>
      <c r="K546" s="241">
        <v>263.39999999999998</v>
      </c>
      <c r="L546" s="242">
        <v>277.5</v>
      </c>
      <c r="M546" s="243">
        <v>283.39999999999998</v>
      </c>
      <c r="N546" s="241">
        <v>265.89999999999998</v>
      </c>
      <c r="O546" s="242">
        <v>280.5</v>
      </c>
      <c r="P546" s="243">
        <v>285.89999999999998</v>
      </c>
      <c r="Z546" s="244">
        <f t="shared" si="25"/>
        <v>55.000000000000512</v>
      </c>
      <c r="AA546" s="376">
        <f t="shared" si="26"/>
        <v>3.5052467327220652E-5</v>
      </c>
    </row>
    <row r="547" spans="1:27">
      <c r="A547" s="244">
        <f t="shared" si="24"/>
        <v>55.100000000000513</v>
      </c>
      <c r="B547" s="241">
        <v>256.7</v>
      </c>
      <c r="C547" s="242">
        <v>269.89999999999998</v>
      </c>
      <c r="D547" s="243">
        <v>277</v>
      </c>
      <c r="E547" s="241">
        <v>259.10000000000002</v>
      </c>
      <c r="F547" s="242">
        <v>272.60000000000002</v>
      </c>
      <c r="G547" s="243">
        <v>279.2</v>
      </c>
      <c r="H547" s="241">
        <v>261.5</v>
      </c>
      <c r="I547" s="242">
        <v>275.2</v>
      </c>
      <c r="J547" s="243">
        <v>281.39999999999998</v>
      </c>
      <c r="K547" s="241">
        <v>263.8</v>
      </c>
      <c r="L547" s="242">
        <v>278</v>
      </c>
      <c r="M547" s="243">
        <v>283.7</v>
      </c>
      <c r="N547" s="241">
        <v>266.10000000000002</v>
      </c>
      <c r="O547" s="242">
        <v>280.60000000000002</v>
      </c>
      <c r="P547" s="243">
        <v>286</v>
      </c>
      <c r="Z547" s="244">
        <f t="shared" si="25"/>
        <v>55.100000000000513</v>
      </c>
      <c r="AA547" s="376">
        <f t="shared" si="26"/>
        <v>3.4877800760274358E-5</v>
      </c>
    </row>
    <row r="548" spans="1:27">
      <c r="A548" s="244">
        <f t="shared" si="24"/>
        <v>55.200000000000514</v>
      </c>
      <c r="B548" s="241">
        <v>258.7</v>
      </c>
      <c r="C548" s="242">
        <v>271.7</v>
      </c>
      <c r="D548" s="243">
        <v>278.7</v>
      </c>
      <c r="E548" s="241">
        <v>260.39999999999998</v>
      </c>
      <c r="F548" s="242">
        <v>273.8</v>
      </c>
      <c r="G548" s="243">
        <v>280.39999999999998</v>
      </c>
      <c r="H548" s="241">
        <v>262.2</v>
      </c>
      <c r="I548" s="242">
        <v>276</v>
      </c>
      <c r="J548" s="243">
        <v>282.10000000000002</v>
      </c>
      <c r="K548" s="241">
        <v>264.2</v>
      </c>
      <c r="L548" s="242">
        <v>278.39999999999998</v>
      </c>
      <c r="M548" s="243">
        <v>284.10000000000002</v>
      </c>
      <c r="N548" s="241">
        <v>266.2</v>
      </c>
      <c r="O548" s="242">
        <v>280.8</v>
      </c>
      <c r="P548" s="243">
        <v>286.2</v>
      </c>
      <c r="Z548" s="244">
        <f t="shared" si="25"/>
        <v>55.200000000000514</v>
      </c>
      <c r="AA548" s="376">
        <f t="shared" si="26"/>
        <v>3.4704318906213691E-5</v>
      </c>
    </row>
    <row r="549" spans="1:27">
      <c r="A549" s="244">
        <f t="shared" si="24"/>
        <v>55.300000000000516</v>
      </c>
      <c r="B549" s="241">
        <v>259.3</v>
      </c>
      <c r="C549" s="242">
        <v>272.7</v>
      </c>
      <c r="D549" s="243">
        <v>279.3</v>
      </c>
      <c r="E549" s="241">
        <v>261</v>
      </c>
      <c r="F549" s="242">
        <v>274.60000000000002</v>
      </c>
      <c r="G549" s="243">
        <v>280.89999999999998</v>
      </c>
      <c r="H549" s="241">
        <v>262.60000000000002</v>
      </c>
      <c r="I549" s="242">
        <v>276.5</v>
      </c>
      <c r="J549" s="243">
        <v>282.5</v>
      </c>
      <c r="K549" s="241">
        <v>264.5</v>
      </c>
      <c r="L549" s="242">
        <v>278.7</v>
      </c>
      <c r="M549" s="243">
        <v>284.3</v>
      </c>
      <c r="N549" s="241">
        <v>266.3</v>
      </c>
      <c r="O549" s="242">
        <v>281</v>
      </c>
      <c r="P549" s="243">
        <v>286.3</v>
      </c>
      <c r="Z549" s="244">
        <f t="shared" si="25"/>
        <v>55.300000000000516</v>
      </c>
      <c r="AA549" s="376">
        <f t="shared" si="26"/>
        <v>3.4532011605037285E-5</v>
      </c>
    </row>
    <row r="550" spans="1:27">
      <c r="A550" s="244">
        <f t="shared" si="24"/>
        <v>55.400000000000517</v>
      </c>
      <c r="B550" s="241">
        <v>260.10000000000002</v>
      </c>
      <c r="C550" s="242">
        <v>273.60000000000002</v>
      </c>
      <c r="D550" s="243">
        <v>279.89999999999998</v>
      </c>
      <c r="E550" s="241">
        <v>261.60000000000002</v>
      </c>
      <c r="F550" s="242">
        <v>275.3</v>
      </c>
      <c r="G550" s="243">
        <v>281.39999999999998</v>
      </c>
      <c r="H550" s="241">
        <v>263.10000000000002</v>
      </c>
      <c r="I550" s="242">
        <v>277</v>
      </c>
      <c r="J550" s="243">
        <v>282.89999999999998</v>
      </c>
      <c r="K550" s="241">
        <v>264.7</v>
      </c>
      <c r="L550" s="242">
        <v>279</v>
      </c>
      <c r="M550" s="243">
        <v>284.60000000000002</v>
      </c>
      <c r="N550" s="241">
        <v>266.5</v>
      </c>
      <c r="O550" s="242">
        <v>281.10000000000002</v>
      </c>
      <c r="P550" s="243">
        <v>286.39999999999998</v>
      </c>
      <c r="Z550" s="244">
        <f t="shared" si="25"/>
        <v>55.400000000000517</v>
      </c>
      <c r="AA550" s="376">
        <f t="shared" si="26"/>
        <v>3.4360868802028431E-5</v>
      </c>
    </row>
    <row r="551" spans="1:27">
      <c r="A551" s="244">
        <f t="shared" si="24"/>
        <v>55.500000000000519</v>
      </c>
      <c r="B551" s="241">
        <v>260.8</v>
      </c>
      <c r="C551" s="242">
        <v>274.39999999999998</v>
      </c>
      <c r="D551" s="243">
        <v>280.60000000000002</v>
      </c>
      <c r="E551" s="241">
        <v>262.10000000000002</v>
      </c>
      <c r="F551" s="242">
        <v>275.89999999999998</v>
      </c>
      <c r="G551" s="243">
        <v>281.89999999999998</v>
      </c>
      <c r="H551" s="241">
        <v>263.39999999999998</v>
      </c>
      <c r="I551" s="242">
        <v>277.39999999999998</v>
      </c>
      <c r="J551" s="243">
        <v>283.3</v>
      </c>
      <c r="K551" s="241">
        <v>265</v>
      </c>
      <c r="L551" s="242">
        <v>279.3</v>
      </c>
      <c r="M551" s="243">
        <v>284.8</v>
      </c>
      <c r="N551" s="241">
        <v>266.60000000000002</v>
      </c>
      <c r="O551" s="242">
        <v>281.2</v>
      </c>
      <c r="P551" s="243">
        <v>286.5</v>
      </c>
      <c r="Z551" s="244">
        <f t="shared" si="25"/>
        <v>55.500000000000519</v>
      </c>
      <c r="AA551" s="376">
        <f t="shared" si="26"/>
        <v>3.4190880546476577E-5</v>
      </c>
    </row>
    <row r="552" spans="1:27">
      <c r="A552" s="244">
        <f t="shared" si="24"/>
        <v>55.60000000000052</v>
      </c>
      <c r="B552" s="241">
        <v>261.5</v>
      </c>
      <c r="C552" s="242">
        <v>275.2</v>
      </c>
      <c r="D552" s="243">
        <v>281.3</v>
      </c>
      <c r="E552" s="241">
        <v>262.60000000000002</v>
      </c>
      <c r="F552" s="242">
        <v>276.39999999999998</v>
      </c>
      <c r="G552" s="243">
        <v>282.39999999999998</v>
      </c>
      <c r="H552" s="241">
        <v>263.8</v>
      </c>
      <c r="I552" s="242">
        <v>277.8</v>
      </c>
      <c r="J552" s="243">
        <v>283.60000000000002</v>
      </c>
      <c r="K552" s="241">
        <v>265.2</v>
      </c>
      <c r="L552" s="242">
        <v>279.5</v>
      </c>
      <c r="M552" s="243">
        <v>285</v>
      </c>
      <c r="N552" s="241">
        <v>266.7</v>
      </c>
      <c r="O552" s="242">
        <v>281.39999999999998</v>
      </c>
      <c r="P552" s="243">
        <v>286.60000000000002</v>
      </c>
      <c r="Z552" s="244">
        <f t="shared" si="25"/>
        <v>55.60000000000052</v>
      </c>
      <c r="AA552" s="376">
        <f t="shared" si="26"/>
        <v>3.4022036990416698E-5</v>
      </c>
    </row>
    <row r="553" spans="1:27">
      <c r="A553" s="244">
        <f t="shared" si="24"/>
        <v>55.700000000000522</v>
      </c>
      <c r="B553" s="241">
        <v>262.10000000000002</v>
      </c>
      <c r="C553" s="242">
        <v>275.8</v>
      </c>
      <c r="D553" s="243">
        <v>281.8</v>
      </c>
      <c r="E553" s="241">
        <v>263</v>
      </c>
      <c r="F553" s="242">
        <v>276.89999999999998</v>
      </c>
      <c r="G553" s="243">
        <v>282.8</v>
      </c>
      <c r="H553" s="241">
        <v>264.10000000000002</v>
      </c>
      <c r="I553" s="242">
        <v>278.2</v>
      </c>
      <c r="J553" s="243">
        <v>283.89999999999998</v>
      </c>
      <c r="K553" s="241">
        <v>265.39999999999998</v>
      </c>
      <c r="L553" s="242">
        <v>279.7</v>
      </c>
      <c r="M553" s="243">
        <v>285.2</v>
      </c>
      <c r="N553" s="241">
        <v>266.8</v>
      </c>
      <c r="O553" s="242">
        <v>281.5</v>
      </c>
      <c r="P553" s="243">
        <v>286.7</v>
      </c>
      <c r="Z553" s="244">
        <f t="shared" si="25"/>
        <v>55.700000000000522</v>
      </c>
      <c r="AA553" s="376">
        <f t="shared" si="26"/>
        <v>3.3854328387386102E-5</v>
      </c>
    </row>
    <row r="554" spans="1:27">
      <c r="A554" s="244">
        <f t="shared" si="24"/>
        <v>55.800000000000523</v>
      </c>
      <c r="B554" s="241">
        <v>262.60000000000002</v>
      </c>
      <c r="C554" s="242">
        <v>276.3</v>
      </c>
      <c r="D554" s="243">
        <v>282.3</v>
      </c>
      <c r="E554" s="241">
        <v>263.39999999999998</v>
      </c>
      <c r="F554" s="242">
        <v>277.3</v>
      </c>
      <c r="G554" s="243">
        <v>283.10000000000002</v>
      </c>
      <c r="H554" s="241">
        <v>264.3</v>
      </c>
      <c r="I554" s="242">
        <v>278.5</v>
      </c>
      <c r="J554" s="243">
        <v>284.10000000000002</v>
      </c>
      <c r="K554" s="241">
        <v>265.5</v>
      </c>
      <c r="L554" s="242">
        <v>279.89999999999998</v>
      </c>
      <c r="M554" s="243">
        <v>285.39999999999998</v>
      </c>
      <c r="N554" s="241">
        <v>266.89999999999998</v>
      </c>
      <c r="O554" s="242">
        <v>281.60000000000002</v>
      </c>
      <c r="P554" s="243">
        <v>286.8</v>
      </c>
      <c r="Z554" s="244">
        <f t="shared" si="25"/>
        <v>55.800000000000523</v>
      </c>
      <c r="AA554" s="376">
        <f t="shared" si="26"/>
        <v>3.3687745091198502E-5</v>
      </c>
    </row>
    <row r="555" spans="1:27">
      <c r="A555" s="244">
        <f t="shared" si="24"/>
        <v>55.900000000000524</v>
      </c>
      <c r="B555" s="241">
        <v>262.89999999999998</v>
      </c>
      <c r="C555" s="242">
        <v>276.7</v>
      </c>
      <c r="D555" s="243">
        <v>282.60000000000002</v>
      </c>
      <c r="E555" s="241">
        <v>263.7</v>
      </c>
      <c r="F555" s="242">
        <v>277.7</v>
      </c>
      <c r="G555" s="243">
        <v>283.39999999999998</v>
      </c>
      <c r="H555" s="241">
        <v>264.60000000000002</v>
      </c>
      <c r="I555" s="242">
        <v>278.8</v>
      </c>
      <c r="J555" s="243">
        <v>284.39999999999998</v>
      </c>
      <c r="K555" s="241">
        <v>265.7</v>
      </c>
      <c r="L555" s="242">
        <v>280.10000000000002</v>
      </c>
      <c r="M555" s="243">
        <v>285.5</v>
      </c>
      <c r="N555" s="241">
        <v>266.89999999999998</v>
      </c>
      <c r="O555" s="242">
        <v>281.60000000000002</v>
      </c>
      <c r="P555" s="243">
        <v>286.89999999999998</v>
      </c>
      <c r="Z555" s="244">
        <f t="shared" si="25"/>
        <v>55.900000000000524</v>
      </c>
      <c r="AA555" s="376">
        <f t="shared" si="26"/>
        <v>3.3522277554735111E-5</v>
      </c>
    </row>
    <row r="556" spans="1:27">
      <c r="A556" s="244">
        <f t="shared" si="24"/>
        <v>56.000000000000526</v>
      </c>
      <c r="B556" s="241">
        <v>263.2</v>
      </c>
      <c r="C556" s="242">
        <v>277.10000000000002</v>
      </c>
      <c r="D556" s="243">
        <v>282.89999999999998</v>
      </c>
      <c r="E556" s="241">
        <v>264</v>
      </c>
      <c r="F556" s="242">
        <v>278</v>
      </c>
      <c r="G556" s="243">
        <v>283.7</v>
      </c>
      <c r="H556" s="241">
        <v>264.8</v>
      </c>
      <c r="I556" s="242">
        <v>279</v>
      </c>
      <c r="J556" s="243">
        <v>284.60000000000002</v>
      </c>
      <c r="K556" s="241">
        <v>265.8</v>
      </c>
      <c r="L556" s="242">
        <v>280.3</v>
      </c>
      <c r="M556" s="243">
        <v>285.7</v>
      </c>
      <c r="N556" s="241">
        <v>267</v>
      </c>
      <c r="O556" s="242">
        <v>281.7</v>
      </c>
      <c r="P556" s="243">
        <v>286.89999999999998</v>
      </c>
      <c r="Z556" s="244">
        <f t="shared" si="25"/>
        <v>56.000000000000526</v>
      </c>
      <c r="AA556" s="376">
        <f t="shared" si="26"/>
        <v>3.335791632875231E-5</v>
      </c>
    </row>
    <row r="557" spans="1:27">
      <c r="A557" s="244">
        <f t="shared" si="24"/>
        <v>56.100000000000527</v>
      </c>
      <c r="B557" s="241">
        <v>263.5</v>
      </c>
      <c r="C557" s="242">
        <v>277.39999999999998</v>
      </c>
      <c r="D557" s="243">
        <v>283.2</v>
      </c>
      <c r="E557" s="241">
        <v>264.2</v>
      </c>
      <c r="F557" s="242">
        <v>278.3</v>
      </c>
      <c r="G557" s="243">
        <v>283.89999999999998</v>
      </c>
      <c r="H557" s="241">
        <v>265</v>
      </c>
      <c r="I557" s="242">
        <v>279.2</v>
      </c>
      <c r="J557" s="243">
        <v>284.7</v>
      </c>
      <c r="K557" s="241">
        <v>266</v>
      </c>
      <c r="L557" s="242">
        <v>280.39999999999998</v>
      </c>
      <c r="M557" s="243">
        <v>285.8</v>
      </c>
      <c r="N557" s="241">
        <v>267.10000000000002</v>
      </c>
      <c r="O557" s="242">
        <v>281.8</v>
      </c>
      <c r="P557" s="243">
        <v>287</v>
      </c>
      <c r="Z557" s="244">
        <f t="shared" si="25"/>
        <v>56.100000000000527</v>
      </c>
      <c r="AA557" s="376">
        <f t="shared" si="26"/>
        <v>3.3194652060705921E-5</v>
      </c>
    </row>
    <row r="558" spans="1:27">
      <c r="A558" s="244">
        <f t="shared" si="24"/>
        <v>56.200000000000529</v>
      </c>
      <c r="B558" s="241">
        <v>263.8</v>
      </c>
      <c r="C558" s="242">
        <v>277.7</v>
      </c>
      <c r="D558" s="243">
        <v>283.5</v>
      </c>
      <c r="E558" s="241">
        <v>264.39999999999998</v>
      </c>
      <c r="F558" s="242">
        <v>278.5</v>
      </c>
      <c r="G558" s="243">
        <v>284.10000000000002</v>
      </c>
      <c r="H558" s="241">
        <v>265.10000000000002</v>
      </c>
      <c r="I558" s="242">
        <v>279.39999999999998</v>
      </c>
      <c r="J558" s="243">
        <v>284.89999999999998</v>
      </c>
      <c r="K558" s="241">
        <v>266.10000000000002</v>
      </c>
      <c r="L558" s="242">
        <v>280.60000000000002</v>
      </c>
      <c r="M558" s="243">
        <v>285.89999999999998</v>
      </c>
      <c r="N558" s="241">
        <v>267.10000000000002</v>
      </c>
      <c r="O558" s="242">
        <v>281.89999999999998</v>
      </c>
      <c r="P558" s="243">
        <v>287</v>
      </c>
      <c r="Z558" s="244">
        <f t="shared" si="25"/>
        <v>56.200000000000529</v>
      </c>
      <c r="AA558" s="376">
        <f t="shared" si="26"/>
        <v>3.3032475493591534E-5</v>
      </c>
    </row>
    <row r="559" spans="1:27">
      <c r="A559" s="244">
        <f t="shared" si="24"/>
        <v>56.30000000000053</v>
      </c>
      <c r="B559" s="241">
        <v>264</v>
      </c>
      <c r="C559" s="242">
        <v>278</v>
      </c>
      <c r="D559" s="243">
        <v>283.7</v>
      </c>
      <c r="E559" s="241">
        <v>264.60000000000002</v>
      </c>
      <c r="F559" s="242">
        <v>278.7</v>
      </c>
      <c r="G559" s="243">
        <v>284.3</v>
      </c>
      <c r="H559" s="241">
        <v>265.3</v>
      </c>
      <c r="I559" s="242">
        <v>279.60000000000002</v>
      </c>
      <c r="J559" s="243">
        <v>285.10000000000002</v>
      </c>
      <c r="K559" s="241">
        <v>266.2</v>
      </c>
      <c r="L559" s="242">
        <v>280.7</v>
      </c>
      <c r="M559" s="243">
        <v>286</v>
      </c>
      <c r="N559" s="241">
        <v>267.2</v>
      </c>
      <c r="O559" s="242">
        <v>281.89999999999998</v>
      </c>
      <c r="P559" s="243">
        <v>287.10000000000002</v>
      </c>
      <c r="Z559" s="244">
        <f t="shared" si="25"/>
        <v>56.30000000000053</v>
      </c>
      <c r="AA559" s="376">
        <f t="shared" si="26"/>
        <v>3.2871377464800902E-5</v>
      </c>
    </row>
    <row r="560" spans="1:27">
      <c r="A560" s="244">
        <f t="shared" si="24"/>
        <v>56.400000000000531</v>
      </c>
      <c r="B560" s="241">
        <v>264.2</v>
      </c>
      <c r="C560" s="242">
        <v>278.2</v>
      </c>
      <c r="D560" s="243">
        <v>283.89999999999998</v>
      </c>
      <c r="E560" s="241">
        <v>264.8</v>
      </c>
      <c r="F560" s="242">
        <v>278.89999999999998</v>
      </c>
      <c r="G560" s="243">
        <v>284.5</v>
      </c>
      <c r="H560" s="241">
        <v>265.39999999999998</v>
      </c>
      <c r="I560" s="242">
        <v>279.8</v>
      </c>
      <c r="J560" s="243">
        <v>285.2</v>
      </c>
      <c r="K560" s="241">
        <v>266.3</v>
      </c>
      <c r="L560" s="242">
        <v>280.8</v>
      </c>
      <c r="M560" s="243">
        <v>286.10000000000002</v>
      </c>
      <c r="N560" s="241">
        <v>267.2</v>
      </c>
      <c r="O560" s="242">
        <v>282</v>
      </c>
      <c r="P560" s="243">
        <v>287.10000000000002</v>
      </c>
      <c r="Z560" s="244">
        <f t="shared" si="25"/>
        <v>56.400000000000531</v>
      </c>
      <c r="AA560" s="376">
        <f t="shared" si="26"/>
        <v>3.2711348904993844E-5</v>
      </c>
    </row>
    <row r="561" spans="1:27">
      <c r="A561" s="244">
        <f t="shared" si="24"/>
        <v>56.500000000000533</v>
      </c>
      <c r="B561" s="241">
        <v>264.39999999999998</v>
      </c>
      <c r="C561" s="242">
        <v>278.5</v>
      </c>
      <c r="D561" s="243">
        <v>284.10000000000002</v>
      </c>
      <c r="E561" s="241">
        <v>264.89999999999998</v>
      </c>
      <c r="F561" s="242">
        <v>279.10000000000002</v>
      </c>
      <c r="G561" s="243">
        <v>284.60000000000002</v>
      </c>
      <c r="H561" s="241">
        <v>265.60000000000002</v>
      </c>
      <c r="I561" s="242">
        <v>279.89999999999998</v>
      </c>
      <c r="J561" s="243">
        <v>285.3</v>
      </c>
      <c r="K561" s="241">
        <v>266.39999999999998</v>
      </c>
      <c r="L561" s="242">
        <v>280.89999999999998</v>
      </c>
      <c r="M561" s="243">
        <v>286.2</v>
      </c>
      <c r="N561" s="241">
        <v>267.3</v>
      </c>
      <c r="O561" s="242">
        <v>282</v>
      </c>
      <c r="P561" s="243">
        <v>287.2</v>
      </c>
      <c r="Z561" s="244">
        <f t="shared" si="25"/>
        <v>56.500000000000533</v>
      </c>
      <c r="AA561" s="376">
        <f t="shared" si="26"/>
        <v>3.2552380836985811E-5</v>
      </c>
    </row>
    <row r="562" spans="1:27">
      <c r="A562" s="244">
        <f t="shared" si="24"/>
        <v>56.600000000000534</v>
      </c>
      <c r="B562" s="241">
        <v>264.60000000000002</v>
      </c>
      <c r="C562" s="242">
        <v>278.7</v>
      </c>
      <c r="D562" s="243">
        <v>284.2</v>
      </c>
      <c r="E562" s="241">
        <v>265.10000000000002</v>
      </c>
      <c r="F562" s="242">
        <v>279.3</v>
      </c>
      <c r="G562" s="243">
        <v>284.8</v>
      </c>
      <c r="H562" s="241">
        <v>265.7</v>
      </c>
      <c r="I562" s="242">
        <v>280</v>
      </c>
      <c r="J562" s="243">
        <v>285.39999999999998</v>
      </c>
      <c r="K562" s="241">
        <v>266.39999999999998</v>
      </c>
      <c r="L562" s="242">
        <v>281</v>
      </c>
      <c r="M562" s="243">
        <v>286.3</v>
      </c>
      <c r="N562" s="241">
        <v>267.3</v>
      </c>
      <c r="O562" s="242">
        <v>282.10000000000002</v>
      </c>
      <c r="P562" s="243">
        <v>287.2</v>
      </c>
      <c r="Z562" s="244">
        <f t="shared" si="25"/>
        <v>56.600000000000534</v>
      </c>
      <c r="AA562" s="376">
        <f t="shared" si="26"/>
        <v>3.2394464374650504E-5</v>
      </c>
    </row>
    <row r="563" spans="1:27">
      <c r="A563" s="244">
        <f t="shared" si="24"/>
        <v>56.700000000000536</v>
      </c>
      <c r="B563" s="241">
        <v>264.7</v>
      </c>
      <c r="C563" s="242">
        <v>278.8</v>
      </c>
      <c r="D563" s="243">
        <v>284.39999999999998</v>
      </c>
      <c r="E563" s="241">
        <v>265.2</v>
      </c>
      <c r="F563" s="242">
        <v>279.39999999999998</v>
      </c>
      <c r="G563" s="243">
        <v>284.89999999999998</v>
      </c>
      <c r="H563" s="241">
        <v>265.8</v>
      </c>
      <c r="I563" s="242">
        <v>280.2</v>
      </c>
      <c r="J563" s="243">
        <v>285.5</v>
      </c>
      <c r="K563" s="241">
        <v>266.5</v>
      </c>
      <c r="L563" s="242">
        <v>281.10000000000002</v>
      </c>
      <c r="M563" s="243">
        <v>286.3</v>
      </c>
      <c r="N563" s="241">
        <v>267.39999999999998</v>
      </c>
      <c r="O563" s="242">
        <v>282.10000000000002</v>
      </c>
      <c r="P563" s="243">
        <v>287.3</v>
      </c>
      <c r="Z563" s="244">
        <f t="shared" si="25"/>
        <v>56.700000000000536</v>
      </c>
      <c r="AA563" s="376">
        <f t="shared" si="26"/>
        <v>3.2237590721837517E-5</v>
      </c>
    </row>
    <row r="564" spans="1:27">
      <c r="A564" s="244">
        <f t="shared" si="24"/>
        <v>56.800000000000537</v>
      </c>
      <c r="B564" s="241">
        <v>264.89999999999998</v>
      </c>
      <c r="C564" s="242">
        <v>279</v>
      </c>
      <c r="D564" s="243">
        <v>284.5</v>
      </c>
      <c r="E564" s="241">
        <v>265.3</v>
      </c>
      <c r="F564" s="242">
        <v>279.60000000000002</v>
      </c>
      <c r="G564" s="243">
        <v>285</v>
      </c>
      <c r="H564" s="241">
        <v>265.89999999999998</v>
      </c>
      <c r="I564" s="242">
        <v>280.3</v>
      </c>
      <c r="J564" s="243">
        <v>285.60000000000002</v>
      </c>
      <c r="K564" s="241">
        <v>266.60000000000002</v>
      </c>
      <c r="L564" s="242">
        <v>281.10000000000002</v>
      </c>
      <c r="M564" s="243">
        <v>286.39999999999998</v>
      </c>
      <c r="N564" s="241">
        <v>267.39999999999998</v>
      </c>
      <c r="O564" s="242">
        <v>282.2</v>
      </c>
      <c r="P564" s="243">
        <v>287.3</v>
      </c>
      <c r="Z564" s="244">
        <f t="shared" si="25"/>
        <v>56.800000000000537</v>
      </c>
      <c r="AA564" s="376">
        <f t="shared" si="26"/>
        <v>3.2081751171304805E-5</v>
      </c>
    </row>
    <row r="565" spans="1:27">
      <c r="A565" s="244">
        <f t="shared" si="24"/>
        <v>56.900000000000539</v>
      </c>
      <c r="B565" s="241">
        <v>265</v>
      </c>
      <c r="C565" s="242">
        <v>279.10000000000002</v>
      </c>
      <c r="D565" s="243">
        <v>284.60000000000002</v>
      </c>
      <c r="E565" s="241">
        <v>265.39999999999998</v>
      </c>
      <c r="F565" s="242">
        <v>279.7</v>
      </c>
      <c r="G565" s="243">
        <v>285.10000000000002</v>
      </c>
      <c r="H565" s="241">
        <v>266</v>
      </c>
      <c r="I565" s="242">
        <v>280.39999999999998</v>
      </c>
      <c r="J565" s="243">
        <v>285.7</v>
      </c>
      <c r="K565" s="241">
        <v>266.60000000000002</v>
      </c>
      <c r="L565" s="242">
        <v>281.2</v>
      </c>
      <c r="M565" s="243">
        <v>286.5</v>
      </c>
      <c r="N565" s="241">
        <v>267.39999999999998</v>
      </c>
      <c r="O565" s="242">
        <v>282.2</v>
      </c>
      <c r="P565" s="243">
        <v>287.3</v>
      </c>
      <c r="Z565" s="244">
        <f t="shared" si="25"/>
        <v>56.900000000000539</v>
      </c>
      <c r="AA565" s="376">
        <f t="shared" si="26"/>
        <v>3.1926937103665458E-5</v>
      </c>
    </row>
    <row r="566" spans="1:27">
      <c r="A566" s="244">
        <f t="shared" si="24"/>
        <v>57.00000000000054</v>
      </c>
      <c r="B566" s="241">
        <v>265.10000000000002</v>
      </c>
      <c r="C566" s="242">
        <v>279.3</v>
      </c>
      <c r="D566" s="243">
        <v>284.8</v>
      </c>
      <c r="E566" s="241">
        <v>265.5</v>
      </c>
      <c r="F566" s="242">
        <v>279.8</v>
      </c>
      <c r="G566" s="243">
        <v>285.2</v>
      </c>
      <c r="H566" s="241">
        <v>266</v>
      </c>
      <c r="I566" s="242">
        <v>280.5</v>
      </c>
      <c r="J566" s="243">
        <v>285.8</v>
      </c>
      <c r="K566" s="241">
        <v>266.7</v>
      </c>
      <c r="L566" s="242">
        <v>281.3</v>
      </c>
      <c r="M566" s="243">
        <v>286.5</v>
      </c>
      <c r="N566" s="241">
        <v>267.5</v>
      </c>
      <c r="O566" s="242">
        <v>282.2</v>
      </c>
      <c r="P566" s="243">
        <v>287.39999999999998</v>
      </c>
      <c r="Z566" s="244">
        <f t="shared" si="25"/>
        <v>57.00000000000054</v>
      </c>
      <c r="AA566" s="376">
        <f t="shared" si="26"/>
        <v>3.1773139986349019E-5</v>
      </c>
    </row>
    <row r="567" spans="1:27">
      <c r="A567" s="244">
        <f t="shared" si="24"/>
        <v>57.100000000000541</v>
      </c>
      <c r="B567" s="241">
        <v>265.2</v>
      </c>
      <c r="C567" s="242">
        <v>279.39999999999998</v>
      </c>
      <c r="D567" s="243">
        <v>284.89999999999998</v>
      </c>
      <c r="E567" s="241">
        <v>265.60000000000002</v>
      </c>
      <c r="F567" s="242">
        <v>279.89999999999998</v>
      </c>
      <c r="G567" s="243">
        <v>285.3</v>
      </c>
      <c r="H567" s="241">
        <v>266.10000000000002</v>
      </c>
      <c r="I567" s="242">
        <v>280.5</v>
      </c>
      <c r="J567" s="243">
        <v>285.89999999999998</v>
      </c>
      <c r="K567" s="241">
        <v>266.7</v>
      </c>
      <c r="L567" s="242">
        <v>281.3</v>
      </c>
      <c r="M567" s="243">
        <v>286.60000000000002</v>
      </c>
      <c r="N567" s="241">
        <v>267.5</v>
      </c>
      <c r="O567" s="242">
        <v>282.3</v>
      </c>
      <c r="P567" s="243">
        <v>287.39999999999998</v>
      </c>
      <c r="Z567" s="244">
        <f t="shared" si="25"/>
        <v>57.100000000000541</v>
      </c>
      <c r="AA567" s="376">
        <f t="shared" si="26"/>
        <v>3.1620351372576779E-5</v>
      </c>
    </row>
    <row r="568" spans="1:27">
      <c r="A568" s="244">
        <f t="shared" si="24"/>
        <v>57.200000000000543</v>
      </c>
      <c r="B568" s="241">
        <v>265.3</v>
      </c>
      <c r="C568" s="242">
        <v>279.5</v>
      </c>
      <c r="D568" s="243">
        <v>285</v>
      </c>
      <c r="E568" s="241">
        <v>265.7</v>
      </c>
      <c r="F568" s="242">
        <v>280</v>
      </c>
      <c r="G568" s="243">
        <v>285.39999999999998</v>
      </c>
      <c r="H568" s="241">
        <v>266.2</v>
      </c>
      <c r="I568" s="242">
        <v>280.60000000000002</v>
      </c>
      <c r="J568" s="243">
        <v>285.89999999999998</v>
      </c>
      <c r="K568" s="241">
        <v>266.8</v>
      </c>
      <c r="L568" s="242">
        <v>281.39999999999998</v>
      </c>
      <c r="M568" s="243">
        <v>286.60000000000002</v>
      </c>
      <c r="N568" s="241">
        <v>267.5</v>
      </c>
      <c r="O568" s="242">
        <v>282.3</v>
      </c>
      <c r="P568" s="243">
        <v>287.39999999999998</v>
      </c>
      <c r="Z568" s="244">
        <f t="shared" si="25"/>
        <v>57.200000000000543</v>
      </c>
      <c r="AA568" s="376">
        <f t="shared" si="26"/>
        <v>3.1468562900350793E-5</v>
      </c>
    </row>
    <row r="569" spans="1:27">
      <c r="A569" s="244">
        <f t="shared" si="24"/>
        <v>57.300000000000544</v>
      </c>
      <c r="B569" s="241">
        <v>265.39999999999998</v>
      </c>
      <c r="C569" s="242">
        <v>279.60000000000002</v>
      </c>
      <c r="D569" s="243">
        <v>285</v>
      </c>
      <c r="E569" s="241">
        <v>265.8</v>
      </c>
      <c r="F569" s="242">
        <v>280.10000000000002</v>
      </c>
      <c r="G569" s="243">
        <v>285.5</v>
      </c>
      <c r="H569" s="241">
        <v>266.2</v>
      </c>
      <c r="I569" s="242">
        <v>280.7</v>
      </c>
      <c r="J569" s="243">
        <v>286</v>
      </c>
      <c r="K569" s="241">
        <v>266.8</v>
      </c>
      <c r="L569" s="242">
        <v>281.39999999999998</v>
      </c>
      <c r="M569" s="243">
        <v>286.7</v>
      </c>
      <c r="N569" s="241">
        <v>267.5</v>
      </c>
      <c r="O569" s="242">
        <v>282.3</v>
      </c>
      <c r="P569" s="243">
        <v>287.39999999999998</v>
      </c>
      <c r="Z569" s="244">
        <f t="shared" si="25"/>
        <v>57.300000000000544</v>
      </c>
      <c r="AA569" s="376">
        <f t="shared" si="26"/>
        <v>3.1317766291456848E-5</v>
      </c>
    </row>
    <row r="570" spans="1:27">
      <c r="A570" s="244">
        <f t="shared" si="24"/>
        <v>57.400000000000546</v>
      </c>
      <c r="B570" s="241">
        <v>265.5</v>
      </c>
      <c r="C570" s="242">
        <v>279.7</v>
      </c>
      <c r="D570" s="243">
        <v>285.10000000000002</v>
      </c>
      <c r="E570" s="241">
        <v>265.8</v>
      </c>
      <c r="F570" s="242">
        <v>280.2</v>
      </c>
      <c r="G570" s="243">
        <v>285.5</v>
      </c>
      <c r="H570" s="241">
        <v>266.3</v>
      </c>
      <c r="I570" s="242">
        <v>280.8</v>
      </c>
      <c r="J570" s="243">
        <v>286</v>
      </c>
      <c r="K570" s="241">
        <v>266.89999999999998</v>
      </c>
      <c r="L570" s="242">
        <v>281.5</v>
      </c>
      <c r="M570" s="243">
        <v>286.7</v>
      </c>
      <c r="N570" s="241">
        <v>267.5</v>
      </c>
      <c r="O570" s="242">
        <v>282.39999999999998</v>
      </c>
      <c r="P570" s="243">
        <v>287.5</v>
      </c>
      <c r="Z570" s="244">
        <f t="shared" si="25"/>
        <v>57.400000000000546</v>
      </c>
      <c r="AA570" s="376">
        <f t="shared" si="26"/>
        <v>3.1167953350480599E-5</v>
      </c>
    </row>
    <row r="571" spans="1:27">
      <c r="A571" s="244">
        <f t="shared" si="24"/>
        <v>57.500000000000547</v>
      </c>
      <c r="B571" s="241">
        <v>265.5</v>
      </c>
      <c r="C571" s="242">
        <v>279.8</v>
      </c>
      <c r="D571" s="243">
        <v>285.2</v>
      </c>
      <c r="E571" s="241">
        <v>265.89999999999998</v>
      </c>
      <c r="F571" s="242">
        <v>280.3</v>
      </c>
      <c r="G571" s="243">
        <v>285.60000000000002</v>
      </c>
      <c r="H571" s="241">
        <v>266.3</v>
      </c>
      <c r="I571" s="242">
        <v>280.8</v>
      </c>
      <c r="J571" s="243">
        <v>286.10000000000002</v>
      </c>
      <c r="K571" s="241">
        <v>266.89999999999998</v>
      </c>
      <c r="L571" s="242">
        <v>281.5</v>
      </c>
      <c r="M571" s="243">
        <v>286.7</v>
      </c>
      <c r="N571" s="241">
        <v>267.60000000000002</v>
      </c>
      <c r="O571" s="242">
        <v>282.39999999999998</v>
      </c>
      <c r="P571" s="243">
        <v>287.5</v>
      </c>
      <c r="Z571" s="244">
        <f t="shared" si="25"/>
        <v>57.500000000000547</v>
      </c>
      <c r="AA571" s="376">
        <f t="shared" si="26"/>
        <v>3.1019115963837046E-5</v>
      </c>
    </row>
    <row r="572" spans="1:27">
      <c r="A572" s="244">
        <f t="shared" si="24"/>
        <v>57.600000000000549</v>
      </c>
      <c r="B572" s="241">
        <v>265.60000000000002</v>
      </c>
      <c r="C572" s="242">
        <v>279.89999999999998</v>
      </c>
      <c r="D572" s="243">
        <v>285.3</v>
      </c>
      <c r="E572" s="241">
        <v>266</v>
      </c>
      <c r="F572" s="242">
        <v>280.3</v>
      </c>
      <c r="G572" s="243">
        <v>285.7</v>
      </c>
      <c r="H572" s="241">
        <v>266.39999999999998</v>
      </c>
      <c r="I572" s="242">
        <v>280.89999999999998</v>
      </c>
      <c r="J572" s="243">
        <v>286.10000000000002</v>
      </c>
      <c r="K572" s="241">
        <v>266.89999999999998</v>
      </c>
      <c r="L572" s="242">
        <v>281.60000000000002</v>
      </c>
      <c r="M572" s="243">
        <v>286.8</v>
      </c>
      <c r="N572" s="241">
        <v>267.60000000000002</v>
      </c>
      <c r="O572" s="242">
        <v>282.39999999999998</v>
      </c>
      <c r="P572" s="243">
        <v>287.5</v>
      </c>
      <c r="Z572" s="244">
        <f t="shared" si="25"/>
        <v>57.600000000000549</v>
      </c>
      <c r="AA572" s="376">
        <f t="shared" si="26"/>
        <v>3.0871246098813145E-5</v>
      </c>
    </row>
    <row r="573" spans="1:27">
      <c r="A573" s="244">
        <f t="shared" si="24"/>
        <v>57.70000000000055</v>
      </c>
      <c r="B573" s="241">
        <v>265.7</v>
      </c>
      <c r="C573" s="242">
        <v>279.89999999999998</v>
      </c>
      <c r="D573" s="243">
        <v>285.3</v>
      </c>
      <c r="E573" s="241">
        <v>266</v>
      </c>
      <c r="F573" s="242">
        <v>280.39999999999998</v>
      </c>
      <c r="G573" s="243">
        <v>285.7</v>
      </c>
      <c r="H573" s="241">
        <v>266.39999999999998</v>
      </c>
      <c r="I573" s="242">
        <v>280.89999999999998</v>
      </c>
      <c r="J573" s="243">
        <v>286.2</v>
      </c>
      <c r="K573" s="241">
        <v>267</v>
      </c>
      <c r="L573" s="242">
        <v>281.60000000000002</v>
      </c>
      <c r="M573" s="243">
        <v>286.8</v>
      </c>
      <c r="N573" s="241">
        <v>267.60000000000002</v>
      </c>
      <c r="O573" s="242">
        <v>282.39999999999998</v>
      </c>
      <c r="P573" s="243">
        <v>287.5</v>
      </c>
      <c r="Z573" s="244">
        <f t="shared" si="25"/>
        <v>57.70000000000055</v>
      </c>
      <c r="AA573" s="376">
        <f t="shared" si="26"/>
        <v>3.0724335802623053E-5</v>
      </c>
    </row>
    <row r="574" spans="1:27">
      <c r="A574" s="244">
        <f t="shared" si="24"/>
        <v>57.800000000000551</v>
      </c>
      <c r="B574" s="241">
        <v>265.7</v>
      </c>
      <c r="C574" s="242">
        <v>280</v>
      </c>
      <c r="D574" s="243">
        <v>285.39999999999998</v>
      </c>
      <c r="E574" s="241">
        <v>266.10000000000002</v>
      </c>
      <c r="F574" s="242">
        <v>280.5</v>
      </c>
      <c r="G574" s="243">
        <v>285.8</v>
      </c>
      <c r="H574" s="241">
        <v>266.5</v>
      </c>
      <c r="I574" s="242">
        <v>281</v>
      </c>
      <c r="J574" s="243">
        <v>286.2</v>
      </c>
      <c r="K574" s="241">
        <v>267</v>
      </c>
      <c r="L574" s="242">
        <v>281.60000000000002</v>
      </c>
      <c r="M574" s="243">
        <v>286.8</v>
      </c>
      <c r="N574" s="241">
        <v>267.60000000000002</v>
      </c>
      <c r="O574" s="242">
        <v>282.39999999999998</v>
      </c>
      <c r="P574" s="243">
        <v>287.5</v>
      </c>
      <c r="Z574" s="244">
        <f t="shared" si="25"/>
        <v>57.800000000000551</v>
      </c>
      <c r="AA574" s="376">
        <f t="shared" si="26"/>
        <v>3.0578377201476242E-5</v>
      </c>
    </row>
    <row r="575" spans="1:27">
      <c r="A575" s="244">
        <f t="shared" si="24"/>
        <v>57.900000000000553</v>
      </c>
      <c r="B575" s="241">
        <v>265.8</v>
      </c>
      <c r="C575" s="242">
        <v>280.10000000000002</v>
      </c>
      <c r="D575" s="243">
        <v>285.5</v>
      </c>
      <c r="E575" s="241">
        <v>266.10000000000002</v>
      </c>
      <c r="F575" s="242">
        <v>280.5</v>
      </c>
      <c r="G575" s="243">
        <v>285.8</v>
      </c>
      <c r="H575" s="241">
        <v>266.5</v>
      </c>
      <c r="I575" s="242">
        <v>281</v>
      </c>
      <c r="J575" s="243">
        <v>286.3</v>
      </c>
      <c r="K575" s="241">
        <v>267</v>
      </c>
      <c r="L575" s="242">
        <v>281.7</v>
      </c>
      <c r="M575" s="243">
        <v>286.89999999999998</v>
      </c>
      <c r="N575" s="241">
        <v>267.60000000000002</v>
      </c>
      <c r="O575" s="242">
        <v>282.5</v>
      </c>
      <c r="P575" s="243">
        <v>287.5</v>
      </c>
      <c r="Z575" s="244">
        <f t="shared" si="25"/>
        <v>57.900000000000553</v>
      </c>
      <c r="AA575" s="376">
        <f t="shared" si="26"/>
        <v>3.0433362499657849E-5</v>
      </c>
    </row>
    <row r="576" spans="1:27">
      <c r="A576" s="244">
        <f t="shared" si="24"/>
        <v>58.000000000000554</v>
      </c>
      <c r="B576" s="241">
        <v>265.8</v>
      </c>
      <c r="C576" s="242">
        <v>280.2</v>
      </c>
      <c r="D576" s="243">
        <v>285.5</v>
      </c>
      <c r="E576" s="241">
        <v>266.2</v>
      </c>
      <c r="F576" s="242">
        <v>280.60000000000002</v>
      </c>
      <c r="G576" s="243">
        <v>285.89999999999998</v>
      </c>
      <c r="H576" s="241">
        <v>266.60000000000002</v>
      </c>
      <c r="I576" s="242">
        <v>281.10000000000002</v>
      </c>
      <c r="J576" s="243">
        <v>286.3</v>
      </c>
      <c r="K576" s="241">
        <v>267.10000000000002</v>
      </c>
      <c r="L576" s="242">
        <v>281.7</v>
      </c>
      <c r="M576" s="243">
        <v>286.89999999999998</v>
      </c>
      <c r="N576" s="241">
        <v>267.7</v>
      </c>
      <c r="O576" s="242">
        <v>282.5</v>
      </c>
      <c r="P576" s="243">
        <v>287.60000000000002</v>
      </c>
      <c r="Z576" s="244">
        <f t="shared" si="25"/>
        <v>58.000000000000554</v>
      </c>
      <c r="AA576" s="376">
        <f t="shared" si="26"/>
        <v>3.028928397862153E-5</v>
      </c>
    </row>
    <row r="577" spans="1:27">
      <c r="A577" s="244">
        <f t="shared" si="24"/>
        <v>58.100000000000556</v>
      </c>
      <c r="B577" s="241">
        <v>265.89999999999998</v>
      </c>
      <c r="C577" s="242">
        <v>280.2</v>
      </c>
      <c r="D577" s="243">
        <v>285.60000000000002</v>
      </c>
      <c r="E577" s="241">
        <v>266.2</v>
      </c>
      <c r="F577" s="242">
        <v>280.60000000000002</v>
      </c>
      <c r="G577" s="243">
        <v>285.89999999999998</v>
      </c>
      <c r="H577" s="241">
        <v>266.60000000000002</v>
      </c>
      <c r="I577" s="242">
        <v>281.10000000000002</v>
      </c>
      <c r="J577" s="243">
        <v>286.39999999999998</v>
      </c>
      <c r="K577" s="241">
        <v>267.10000000000002</v>
      </c>
      <c r="L577" s="242">
        <v>281.7</v>
      </c>
      <c r="M577" s="243">
        <v>286.89999999999998</v>
      </c>
      <c r="N577" s="241">
        <v>267.7</v>
      </c>
      <c r="O577" s="242">
        <v>282.5</v>
      </c>
      <c r="P577" s="243">
        <v>287.60000000000002</v>
      </c>
      <c r="Z577" s="244">
        <f t="shared" si="25"/>
        <v>58.100000000000556</v>
      </c>
      <c r="AA577" s="376">
        <f t="shared" si="26"/>
        <v>3.0146133996094184E-5</v>
      </c>
    </row>
    <row r="578" spans="1:27">
      <c r="A578" s="244">
        <f t="shared" si="24"/>
        <v>58.200000000000557</v>
      </c>
      <c r="B578" s="241">
        <v>265.89999999999998</v>
      </c>
      <c r="C578" s="242">
        <v>280.3</v>
      </c>
      <c r="D578" s="243">
        <v>285.60000000000002</v>
      </c>
      <c r="E578" s="241">
        <v>266.3</v>
      </c>
      <c r="F578" s="242">
        <v>280.7</v>
      </c>
      <c r="G578" s="243">
        <v>286</v>
      </c>
      <c r="H578" s="241">
        <v>266.60000000000002</v>
      </c>
      <c r="I578" s="242">
        <v>281.2</v>
      </c>
      <c r="J578" s="243">
        <v>286.39999999999998</v>
      </c>
      <c r="K578" s="241">
        <v>267.10000000000002</v>
      </c>
      <c r="L578" s="242">
        <v>281.8</v>
      </c>
      <c r="M578" s="243">
        <v>286.89999999999998</v>
      </c>
      <c r="N578" s="241">
        <v>267.7</v>
      </c>
      <c r="O578" s="242">
        <v>282.5</v>
      </c>
      <c r="P578" s="243">
        <v>287.60000000000002</v>
      </c>
      <c r="Z578" s="244">
        <f t="shared" si="25"/>
        <v>58.200000000000557</v>
      </c>
      <c r="AA578" s="376">
        <f t="shared" si="26"/>
        <v>3.0003904985192712E-5</v>
      </c>
    </row>
    <row r="579" spans="1:27">
      <c r="A579" s="244">
        <f t="shared" si="24"/>
        <v>58.300000000000558</v>
      </c>
      <c r="B579" s="241">
        <v>266</v>
      </c>
      <c r="C579" s="242">
        <v>280.3</v>
      </c>
      <c r="D579" s="243">
        <v>285.7</v>
      </c>
      <c r="E579" s="241">
        <v>266.3</v>
      </c>
      <c r="F579" s="242">
        <v>280.7</v>
      </c>
      <c r="G579" s="243">
        <v>286</v>
      </c>
      <c r="H579" s="241">
        <v>266.60000000000002</v>
      </c>
      <c r="I579" s="242">
        <v>281.2</v>
      </c>
      <c r="J579" s="243">
        <v>286.39999999999998</v>
      </c>
      <c r="K579" s="241">
        <v>267.10000000000002</v>
      </c>
      <c r="L579" s="242">
        <v>281.8</v>
      </c>
      <c r="M579" s="243">
        <v>287</v>
      </c>
      <c r="N579" s="241">
        <v>267.7</v>
      </c>
      <c r="O579" s="242">
        <v>282.5</v>
      </c>
      <c r="P579" s="243">
        <v>287.60000000000002</v>
      </c>
      <c r="Z579" s="244">
        <f t="shared" si="25"/>
        <v>58.300000000000558</v>
      </c>
      <c r="AA579" s="376">
        <f t="shared" si="26"/>
        <v>2.9862589453552446E-5</v>
      </c>
    </row>
    <row r="580" spans="1:27">
      <c r="A580" s="244">
        <f t="shared" si="24"/>
        <v>58.40000000000056</v>
      </c>
      <c r="B580" s="241">
        <v>266</v>
      </c>
      <c r="C580" s="242">
        <v>280.39999999999998</v>
      </c>
      <c r="D580" s="243">
        <v>285.7</v>
      </c>
      <c r="E580" s="241">
        <v>266.3</v>
      </c>
      <c r="F580" s="242">
        <v>280.8</v>
      </c>
      <c r="G580" s="243">
        <v>286</v>
      </c>
      <c r="H580" s="241">
        <v>266.7</v>
      </c>
      <c r="I580" s="242">
        <v>281.2</v>
      </c>
      <c r="J580" s="243">
        <v>286.39999999999998</v>
      </c>
      <c r="K580" s="241">
        <v>267.10000000000002</v>
      </c>
      <c r="L580" s="242">
        <v>281.8</v>
      </c>
      <c r="M580" s="243">
        <v>287</v>
      </c>
      <c r="N580" s="241">
        <v>267.7</v>
      </c>
      <c r="O580" s="242">
        <v>282.5</v>
      </c>
      <c r="P580" s="243">
        <v>287.60000000000002</v>
      </c>
      <c r="Z580" s="244">
        <f t="shared" si="25"/>
        <v>58.40000000000056</v>
      </c>
      <c r="AA580" s="376">
        <f t="shared" si="26"/>
        <v>2.972217998246715E-5</v>
      </c>
    </row>
    <row r="581" spans="1:27">
      <c r="A581" s="244">
        <f t="shared" si="24"/>
        <v>58.500000000000561</v>
      </c>
      <c r="B581" s="241">
        <v>266.10000000000002</v>
      </c>
      <c r="C581" s="242">
        <v>280.39999999999998</v>
      </c>
      <c r="D581" s="243">
        <v>285.7</v>
      </c>
      <c r="E581" s="241">
        <v>266.3</v>
      </c>
      <c r="F581" s="242">
        <v>280.8</v>
      </c>
      <c r="G581" s="243">
        <v>286.10000000000002</v>
      </c>
      <c r="H581" s="241">
        <v>266.7</v>
      </c>
      <c r="I581" s="242">
        <v>281.2</v>
      </c>
      <c r="J581" s="243">
        <v>286.5</v>
      </c>
      <c r="K581" s="241">
        <v>267.2</v>
      </c>
      <c r="L581" s="242">
        <v>281.8</v>
      </c>
      <c r="M581" s="243">
        <v>287</v>
      </c>
      <c r="N581" s="241">
        <v>267.7</v>
      </c>
      <c r="O581" s="242">
        <v>282.5</v>
      </c>
      <c r="P581" s="243">
        <v>287.60000000000002</v>
      </c>
      <c r="Z581" s="244">
        <f t="shared" si="25"/>
        <v>58.500000000000561</v>
      </c>
      <c r="AA581" s="376">
        <f t="shared" si="26"/>
        <v>2.9582669226040384E-5</v>
      </c>
    </row>
    <row r="582" spans="1:27">
      <c r="A582" s="244">
        <f t="shared" si="24"/>
        <v>58.600000000000563</v>
      </c>
      <c r="B582" s="241">
        <v>266.10000000000002</v>
      </c>
      <c r="C582" s="242">
        <v>280.39999999999998</v>
      </c>
      <c r="D582" s="243">
        <v>285.7</v>
      </c>
      <c r="E582" s="241">
        <v>266.39999999999998</v>
      </c>
      <c r="F582" s="242">
        <v>280.8</v>
      </c>
      <c r="G582" s="243">
        <v>286.10000000000002</v>
      </c>
      <c r="H582" s="241">
        <v>266.7</v>
      </c>
      <c r="I582" s="242">
        <v>281.3</v>
      </c>
      <c r="J582" s="243">
        <v>286.5</v>
      </c>
      <c r="K582" s="241">
        <v>267.2</v>
      </c>
      <c r="L582" s="242">
        <v>281.89999999999998</v>
      </c>
      <c r="M582" s="243">
        <v>287</v>
      </c>
      <c r="N582" s="241">
        <v>267.7</v>
      </c>
      <c r="O582" s="242">
        <v>282.60000000000002</v>
      </c>
      <c r="P582" s="243">
        <v>287.60000000000002</v>
      </c>
      <c r="Z582" s="244">
        <f t="shared" si="25"/>
        <v>58.600000000000563</v>
      </c>
      <c r="AA582" s="376">
        <f t="shared" si="26"/>
        <v>2.9444049910348066E-5</v>
      </c>
    </row>
    <row r="583" spans="1:27">
      <c r="A583" s="244">
        <f t="shared" ref="A583:A646" si="27">A582+0.1</f>
        <v>58.700000000000564</v>
      </c>
      <c r="B583" s="241">
        <v>266.10000000000002</v>
      </c>
      <c r="C583" s="242">
        <v>280.5</v>
      </c>
      <c r="D583" s="243">
        <v>285.8</v>
      </c>
      <c r="E583" s="241">
        <v>266.39999999999998</v>
      </c>
      <c r="F583" s="242">
        <v>280.8</v>
      </c>
      <c r="G583" s="243">
        <v>286.10000000000002</v>
      </c>
      <c r="H583" s="241">
        <v>266.7</v>
      </c>
      <c r="I583" s="242">
        <v>281.3</v>
      </c>
      <c r="J583" s="243">
        <v>286.5</v>
      </c>
      <c r="K583" s="241">
        <v>267.2</v>
      </c>
      <c r="L583" s="242">
        <v>281.89999999999998</v>
      </c>
      <c r="M583" s="243">
        <v>287</v>
      </c>
      <c r="N583" s="241">
        <v>267.7</v>
      </c>
      <c r="O583" s="242">
        <v>282.60000000000002</v>
      </c>
      <c r="P583" s="243">
        <v>287.60000000000002</v>
      </c>
      <c r="Z583" s="244">
        <f t="shared" ref="Z583:Z646" si="28">Z582+0.1</f>
        <v>58.700000000000564</v>
      </c>
      <c r="AA583" s="376">
        <f t="shared" ref="AA583:AA646" si="29">T_gal(Z583)</f>
        <v>2.9306314832612095E-5</v>
      </c>
    </row>
    <row r="584" spans="1:27">
      <c r="A584" s="244">
        <f t="shared" si="27"/>
        <v>58.800000000000566</v>
      </c>
      <c r="B584" s="241">
        <v>266.10000000000002</v>
      </c>
      <c r="C584" s="242">
        <v>280.5</v>
      </c>
      <c r="D584" s="243">
        <v>285.8</v>
      </c>
      <c r="E584" s="241">
        <v>266.39999999999998</v>
      </c>
      <c r="F584" s="242">
        <v>280.89999999999998</v>
      </c>
      <c r="G584" s="243">
        <v>286.10000000000002</v>
      </c>
      <c r="H584" s="241">
        <v>266.8</v>
      </c>
      <c r="I584" s="242">
        <v>281.3</v>
      </c>
      <c r="J584" s="243">
        <v>286.5</v>
      </c>
      <c r="K584" s="241">
        <v>267.2</v>
      </c>
      <c r="L584" s="242">
        <v>281.89999999999998</v>
      </c>
      <c r="M584" s="243">
        <v>287</v>
      </c>
      <c r="N584" s="241">
        <v>267.7</v>
      </c>
      <c r="O584" s="242">
        <v>282.60000000000002</v>
      </c>
      <c r="P584" s="243">
        <v>287.60000000000002</v>
      </c>
      <c r="Z584" s="244">
        <f t="shared" si="28"/>
        <v>58.800000000000566</v>
      </c>
      <c r="AA584" s="376">
        <f t="shared" si="29"/>
        <v>2.9169456860384855E-5</v>
      </c>
    </row>
    <row r="585" spans="1:27">
      <c r="A585" s="244">
        <f t="shared" si="27"/>
        <v>58.900000000000567</v>
      </c>
      <c r="B585" s="241">
        <v>266.10000000000002</v>
      </c>
      <c r="C585" s="242">
        <v>280.5</v>
      </c>
      <c r="D585" s="243">
        <v>285.8</v>
      </c>
      <c r="E585" s="241">
        <v>266.39999999999998</v>
      </c>
      <c r="F585" s="242">
        <v>280.89999999999998</v>
      </c>
      <c r="G585" s="243">
        <v>286.10000000000002</v>
      </c>
      <c r="H585" s="241">
        <v>266.8</v>
      </c>
      <c r="I585" s="242">
        <v>281.3</v>
      </c>
      <c r="J585" s="243">
        <v>286.5</v>
      </c>
      <c r="K585" s="241">
        <v>267.2</v>
      </c>
      <c r="L585" s="242">
        <v>281.89999999999998</v>
      </c>
      <c r="M585" s="243">
        <v>287</v>
      </c>
      <c r="N585" s="241">
        <v>267.7</v>
      </c>
      <c r="O585" s="242">
        <v>282.60000000000002</v>
      </c>
      <c r="P585" s="243">
        <v>287.60000000000002</v>
      </c>
      <c r="Z585" s="244">
        <f t="shared" si="28"/>
        <v>58.900000000000567</v>
      </c>
      <c r="AA585" s="376">
        <f t="shared" si="29"/>
        <v>2.9033468930744395E-5</v>
      </c>
    </row>
    <row r="586" spans="1:27">
      <c r="A586" s="244">
        <f t="shared" si="27"/>
        <v>59.000000000000568</v>
      </c>
      <c r="B586" s="241">
        <v>266.2</v>
      </c>
      <c r="C586" s="242">
        <v>280.5</v>
      </c>
      <c r="D586" s="243">
        <v>285.8</v>
      </c>
      <c r="E586" s="241">
        <v>266.39999999999998</v>
      </c>
      <c r="F586" s="242">
        <v>280.89999999999998</v>
      </c>
      <c r="G586" s="243">
        <v>286.2</v>
      </c>
      <c r="H586" s="241">
        <v>266.8</v>
      </c>
      <c r="I586" s="242">
        <v>281.3</v>
      </c>
      <c r="J586" s="243">
        <v>286.5</v>
      </c>
      <c r="K586" s="241">
        <v>267.2</v>
      </c>
      <c r="L586" s="242">
        <v>281.89999999999998</v>
      </c>
      <c r="M586" s="243">
        <v>287</v>
      </c>
      <c r="N586" s="241">
        <v>267.7</v>
      </c>
      <c r="O586" s="242">
        <v>282.60000000000002</v>
      </c>
      <c r="P586" s="243">
        <v>287.60000000000002</v>
      </c>
      <c r="Z586" s="244">
        <f t="shared" si="28"/>
        <v>59.000000000000568</v>
      </c>
      <c r="AA586" s="376">
        <f t="shared" si="29"/>
        <v>2.8898344049500183E-5</v>
      </c>
    </row>
    <row r="587" spans="1:27">
      <c r="A587" s="244">
        <f t="shared" si="27"/>
        <v>59.10000000000057</v>
      </c>
      <c r="B587" s="241">
        <v>266.2</v>
      </c>
      <c r="C587" s="242">
        <v>280.60000000000002</v>
      </c>
      <c r="D587" s="243">
        <v>285.89999999999998</v>
      </c>
      <c r="E587" s="241">
        <v>266.5</v>
      </c>
      <c r="F587" s="242">
        <v>280.89999999999998</v>
      </c>
      <c r="G587" s="243">
        <v>286.2</v>
      </c>
      <c r="H587" s="241">
        <v>266.8</v>
      </c>
      <c r="I587" s="242">
        <v>281.3</v>
      </c>
      <c r="J587" s="243">
        <v>286.60000000000002</v>
      </c>
      <c r="K587" s="241">
        <v>267.2</v>
      </c>
      <c r="L587" s="242">
        <v>281.89999999999998</v>
      </c>
      <c r="M587" s="243">
        <v>287.10000000000002</v>
      </c>
      <c r="N587" s="241">
        <v>267.7</v>
      </c>
      <c r="O587" s="242">
        <v>282.60000000000002</v>
      </c>
      <c r="P587" s="243">
        <v>287.7</v>
      </c>
      <c r="Z587" s="244">
        <f t="shared" si="28"/>
        <v>59.10000000000057</v>
      </c>
      <c r="AA587" s="376">
        <f t="shared" si="29"/>
        <v>2.8764075290409325E-5</v>
      </c>
    </row>
    <row r="588" spans="1:27">
      <c r="A588" s="244">
        <f t="shared" si="27"/>
        <v>59.200000000000571</v>
      </c>
      <c r="B588" s="241">
        <v>266.2</v>
      </c>
      <c r="C588" s="242">
        <v>280.60000000000002</v>
      </c>
      <c r="D588" s="243">
        <v>285.89999999999998</v>
      </c>
      <c r="E588" s="241">
        <v>266.5</v>
      </c>
      <c r="F588" s="242">
        <v>280.89999999999998</v>
      </c>
      <c r="G588" s="243">
        <v>286.2</v>
      </c>
      <c r="H588" s="241">
        <v>266.8</v>
      </c>
      <c r="I588" s="242">
        <v>281.39999999999998</v>
      </c>
      <c r="J588" s="243">
        <v>286.60000000000002</v>
      </c>
      <c r="K588" s="241">
        <v>267.2</v>
      </c>
      <c r="L588" s="242">
        <v>281.89999999999998</v>
      </c>
      <c r="M588" s="243">
        <v>287.10000000000002</v>
      </c>
      <c r="N588" s="241">
        <v>267.7</v>
      </c>
      <c r="O588" s="242">
        <v>282.60000000000002</v>
      </c>
      <c r="P588" s="243">
        <v>287.7</v>
      </c>
      <c r="Z588" s="244">
        <f t="shared" si="28"/>
        <v>59.200000000000571</v>
      </c>
      <c r="AA588" s="376">
        <f t="shared" si="29"/>
        <v>2.8630655794402874E-5</v>
      </c>
    </row>
    <row r="589" spans="1:27">
      <c r="A589" s="244">
        <f t="shared" si="27"/>
        <v>59.300000000000573</v>
      </c>
      <c r="B589" s="241">
        <v>266.2</v>
      </c>
      <c r="C589" s="242">
        <v>280.60000000000002</v>
      </c>
      <c r="D589" s="243">
        <v>285.89999999999998</v>
      </c>
      <c r="E589" s="241">
        <v>266.5</v>
      </c>
      <c r="F589" s="242">
        <v>281</v>
      </c>
      <c r="G589" s="243">
        <v>286.2</v>
      </c>
      <c r="H589" s="241">
        <v>266.8</v>
      </c>
      <c r="I589" s="242">
        <v>281.39999999999998</v>
      </c>
      <c r="J589" s="243">
        <v>286.60000000000002</v>
      </c>
      <c r="K589" s="241">
        <v>267.2</v>
      </c>
      <c r="L589" s="242">
        <v>281.89999999999998</v>
      </c>
      <c r="M589" s="243">
        <v>287.10000000000002</v>
      </c>
      <c r="N589" s="241">
        <v>267.8</v>
      </c>
      <c r="O589" s="242">
        <v>282.60000000000002</v>
      </c>
      <c r="P589" s="243">
        <v>287.7</v>
      </c>
      <c r="Z589" s="244">
        <f t="shared" si="28"/>
        <v>59.300000000000573</v>
      </c>
      <c r="AA589" s="376">
        <f t="shared" si="29"/>
        <v>2.8498078768822415E-5</v>
      </c>
    </row>
    <row r="590" spans="1:27">
      <c r="A590" s="244">
        <f t="shared" si="27"/>
        <v>59.400000000000574</v>
      </c>
      <c r="B590" s="241">
        <v>266.2</v>
      </c>
      <c r="C590" s="242">
        <v>280.60000000000002</v>
      </c>
      <c r="D590" s="243">
        <v>285.89999999999998</v>
      </c>
      <c r="E590" s="241">
        <v>266.5</v>
      </c>
      <c r="F590" s="242">
        <v>281</v>
      </c>
      <c r="G590" s="243">
        <v>286.2</v>
      </c>
      <c r="H590" s="241">
        <v>266.8</v>
      </c>
      <c r="I590" s="242">
        <v>281.39999999999998</v>
      </c>
      <c r="J590" s="243">
        <v>286.60000000000002</v>
      </c>
      <c r="K590" s="241">
        <v>267.2</v>
      </c>
      <c r="L590" s="242">
        <v>281.89999999999998</v>
      </c>
      <c r="M590" s="243">
        <v>287.10000000000002</v>
      </c>
      <c r="N590" s="241">
        <v>267.8</v>
      </c>
      <c r="O590" s="242">
        <v>282.60000000000002</v>
      </c>
      <c r="P590" s="243">
        <v>287.7</v>
      </c>
      <c r="Z590" s="244">
        <f t="shared" si="28"/>
        <v>59.400000000000574</v>
      </c>
      <c r="AA590" s="376">
        <f t="shared" si="29"/>
        <v>2.8366337486666477E-5</v>
      </c>
    </row>
    <row r="591" spans="1:27">
      <c r="A591" s="244">
        <f t="shared" si="27"/>
        <v>59.500000000000576</v>
      </c>
      <c r="B591" s="241">
        <v>266.3</v>
      </c>
      <c r="C591" s="242">
        <v>280.60000000000002</v>
      </c>
      <c r="D591" s="243">
        <v>285.89999999999998</v>
      </c>
      <c r="E591" s="241">
        <v>266.5</v>
      </c>
      <c r="F591" s="242">
        <v>281</v>
      </c>
      <c r="G591" s="243">
        <v>286.2</v>
      </c>
      <c r="H591" s="241">
        <v>266.8</v>
      </c>
      <c r="I591" s="242">
        <v>281.39999999999998</v>
      </c>
      <c r="J591" s="243">
        <v>286.60000000000002</v>
      </c>
      <c r="K591" s="241">
        <v>267.3</v>
      </c>
      <c r="L591" s="242">
        <v>282</v>
      </c>
      <c r="M591" s="243">
        <v>287.10000000000002</v>
      </c>
      <c r="N591" s="241">
        <v>267.8</v>
      </c>
      <c r="O591" s="242">
        <v>282.60000000000002</v>
      </c>
      <c r="P591" s="243">
        <v>287.7</v>
      </c>
      <c r="Z591" s="244">
        <f t="shared" si="28"/>
        <v>59.500000000000576</v>
      </c>
      <c r="AA591" s="376">
        <f t="shared" si="29"/>
        <v>2.8235425285846764E-5</v>
      </c>
    </row>
    <row r="592" spans="1:27">
      <c r="A592" s="244">
        <f t="shared" si="27"/>
        <v>59.600000000000577</v>
      </c>
      <c r="B592" s="241">
        <v>266.3</v>
      </c>
      <c r="C592" s="242">
        <v>280.7</v>
      </c>
      <c r="D592" s="243">
        <v>285.89999999999998</v>
      </c>
      <c r="E592" s="241">
        <v>266.5</v>
      </c>
      <c r="F592" s="242">
        <v>281</v>
      </c>
      <c r="G592" s="243">
        <v>286.3</v>
      </c>
      <c r="H592" s="241">
        <v>266.89999999999998</v>
      </c>
      <c r="I592" s="242">
        <v>281.39999999999998</v>
      </c>
      <c r="J592" s="243">
        <v>286.60000000000002</v>
      </c>
      <c r="K592" s="241">
        <v>267.3</v>
      </c>
      <c r="L592" s="242">
        <v>282</v>
      </c>
      <c r="M592" s="243">
        <v>287.10000000000002</v>
      </c>
      <c r="N592" s="241">
        <v>267.8</v>
      </c>
      <c r="O592" s="242">
        <v>282.60000000000002</v>
      </c>
      <c r="P592" s="243">
        <v>287.7</v>
      </c>
      <c r="Z592" s="244">
        <f t="shared" si="28"/>
        <v>59.600000000000577</v>
      </c>
      <c r="AA592" s="376">
        <f t="shared" si="29"/>
        <v>2.810533556845412E-5</v>
      </c>
    </row>
    <row r="593" spans="1:27">
      <c r="A593" s="244">
        <f t="shared" si="27"/>
        <v>59.700000000000578</v>
      </c>
      <c r="B593" s="241">
        <v>266.3</v>
      </c>
      <c r="C593" s="242">
        <v>280.7</v>
      </c>
      <c r="D593" s="243">
        <v>286</v>
      </c>
      <c r="E593" s="241">
        <v>266.60000000000002</v>
      </c>
      <c r="F593" s="242">
        <v>281</v>
      </c>
      <c r="G593" s="243">
        <v>286.3</v>
      </c>
      <c r="H593" s="241">
        <v>266.89999999999998</v>
      </c>
      <c r="I593" s="242">
        <v>281.39999999999998</v>
      </c>
      <c r="J593" s="243">
        <v>286.60000000000002</v>
      </c>
      <c r="K593" s="241">
        <v>267.3</v>
      </c>
      <c r="L593" s="242">
        <v>282</v>
      </c>
      <c r="M593" s="243">
        <v>287.10000000000002</v>
      </c>
      <c r="N593" s="241">
        <v>267.8</v>
      </c>
      <c r="O593" s="242">
        <v>282.60000000000002</v>
      </c>
      <c r="P593" s="243">
        <v>287.7</v>
      </c>
      <c r="Z593" s="244">
        <f t="shared" si="28"/>
        <v>59.700000000000578</v>
      </c>
      <c r="AA593" s="376">
        <f t="shared" si="29"/>
        <v>2.7976061800033879E-5</v>
      </c>
    </row>
    <row r="594" spans="1:27">
      <c r="A594" s="244">
        <f t="shared" si="27"/>
        <v>59.80000000000058</v>
      </c>
      <c r="B594" s="241">
        <v>266.3</v>
      </c>
      <c r="C594" s="242">
        <v>280.7</v>
      </c>
      <c r="D594" s="243">
        <v>286</v>
      </c>
      <c r="E594" s="241">
        <v>266.60000000000002</v>
      </c>
      <c r="F594" s="242">
        <v>281.10000000000002</v>
      </c>
      <c r="G594" s="243">
        <v>286.3</v>
      </c>
      <c r="H594" s="241">
        <v>266.89999999999998</v>
      </c>
      <c r="I594" s="242">
        <v>281.5</v>
      </c>
      <c r="J594" s="243">
        <v>286.7</v>
      </c>
      <c r="K594" s="241">
        <v>267.3</v>
      </c>
      <c r="L594" s="242">
        <v>282</v>
      </c>
      <c r="M594" s="243">
        <v>287.10000000000002</v>
      </c>
      <c r="N594" s="241">
        <v>267.8</v>
      </c>
      <c r="O594" s="242">
        <v>282.60000000000002</v>
      </c>
      <c r="P594" s="243">
        <v>287.7</v>
      </c>
      <c r="Z594" s="244">
        <f t="shared" si="28"/>
        <v>59.80000000000058</v>
      </c>
      <c r="AA594" s="376">
        <f t="shared" si="29"/>
        <v>2.7847597508870696E-5</v>
      </c>
    </row>
    <row r="595" spans="1:27">
      <c r="A595" s="244">
        <f t="shared" si="27"/>
        <v>59.900000000000581</v>
      </c>
      <c r="B595" s="241">
        <v>266.3</v>
      </c>
      <c r="C595" s="242">
        <v>280.7</v>
      </c>
      <c r="D595" s="243">
        <v>286</v>
      </c>
      <c r="E595" s="241">
        <v>266.60000000000002</v>
      </c>
      <c r="F595" s="242">
        <v>281.10000000000002</v>
      </c>
      <c r="G595" s="243">
        <v>286.3</v>
      </c>
      <c r="H595" s="241">
        <v>266.89999999999998</v>
      </c>
      <c r="I595" s="242">
        <v>281.5</v>
      </c>
      <c r="J595" s="243">
        <v>286.7</v>
      </c>
      <c r="K595" s="241">
        <v>267.3</v>
      </c>
      <c r="L595" s="242">
        <v>282</v>
      </c>
      <c r="M595" s="243">
        <v>287.10000000000002</v>
      </c>
      <c r="N595" s="241">
        <v>267.8</v>
      </c>
      <c r="O595" s="242">
        <v>282.60000000000002</v>
      </c>
      <c r="P595" s="243">
        <v>287.7</v>
      </c>
      <c r="Z595" s="244">
        <f t="shared" si="28"/>
        <v>59.900000000000581</v>
      </c>
      <c r="AA595" s="376">
        <f t="shared" si="29"/>
        <v>2.7719936285282608E-5</v>
      </c>
    </row>
    <row r="596" spans="1:27">
      <c r="A596" s="244">
        <v>60</v>
      </c>
      <c r="B596" s="241">
        <v>266.3</v>
      </c>
      <c r="C596" s="242">
        <v>280.8</v>
      </c>
      <c r="D596" s="243">
        <v>286</v>
      </c>
      <c r="E596" s="241">
        <v>266.60000000000002</v>
      </c>
      <c r="F596" s="242">
        <v>281.10000000000002</v>
      </c>
      <c r="G596" s="243">
        <v>286.3</v>
      </c>
      <c r="H596" s="241">
        <v>266.89999999999998</v>
      </c>
      <c r="I596" s="242">
        <v>281.5</v>
      </c>
      <c r="J596" s="243">
        <v>286.7</v>
      </c>
      <c r="K596" s="241">
        <v>267.3</v>
      </c>
      <c r="L596" s="242">
        <v>282</v>
      </c>
      <c r="M596" s="243">
        <v>287.10000000000002</v>
      </c>
      <c r="N596" s="241">
        <v>267.8</v>
      </c>
      <c r="O596" s="242">
        <v>282.60000000000002</v>
      </c>
      <c r="P596" s="243">
        <v>287.7</v>
      </c>
      <c r="Z596" s="244">
        <v>60</v>
      </c>
      <c r="AA596" s="376">
        <f t="shared" si="29"/>
        <v>2.7593071780924878E-5</v>
      </c>
    </row>
    <row r="597" spans="1:27">
      <c r="A597" s="244">
        <f t="shared" si="27"/>
        <v>60.1</v>
      </c>
      <c r="B597" s="241">
        <v>266.39999999999998</v>
      </c>
      <c r="C597" s="242">
        <v>280.8</v>
      </c>
      <c r="D597" s="243">
        <v>286.10000000000002</v>
      </c>
      <c r="E597" s="241">
        <v>266.60000000000002</v>
      </c>
      <c r="F597" s="242">
        <v>281.10000000000002</v>
      </c>
      <c r="G597" s="243">
        <v>286.3</v>
      </c>
      <c r="H597" s="241">
        <v>266.89999999999998</v>
      </c>
      <c r="I597" s="242">
        <v>281.5</v>
      </c>
      <c r="J597" s="243">
        <v>286.7</v>
      </c>
      <c r="K597" s="241">
        <v>267.3</v>
      </c>
      <c r="L597" s="242">
        <v>282</v>
      </c>
      <c r="M597" s="243">
        <v>287.2</v>
      </c>
      <c r="N597" s="241">
        <v>267.8</v>
      </c>
      <c r="O597" s="242">
        <v>282.7</v>
      </c>
      <c r="P597" s="243">
        <v>287.7</v>
      </c>
      <c r="Z597" s="244">
        <f t="shared" si="28"/>
        <v>60.1</v>
      </c>
      <c r="AA597" s="376">
        <f t="shared" si="29"/>
        <v>2.7466997708099152E-5</v>
      </c>
    </row>
    <row r="598" spans="1:27">
      <c r="A598" s="244">
        <f t="shared" si="27"/>
        <v>60.2</v>
      </c>
      <c r="B598" s="241">
        <v>266.39999999999998</v>
      </c>
      <c r="C598" s="242">
        <v>280.8</v>
      </c>
      <c r="D598" s="243">
        <v>286.10000000000002</v>
      </c>
      <c r="E598" s="241">
        <v>266.60000000000002</v>
      </c>
      <c r="F598" s="242">
        <v>281.10000000000002</v>
      </c>
      <c r="G598" s="243">
        <v>286.39999999999998</v>
      </c>
      <c r="H598" s="241">
        <v>266.89999999999998</v>
      </c>
      <c r="I598" s="242">
        <v>281.5</v>
      </c>
      <c r="J598" s="243">
        <v>286.7</v>
      </c>
      <c r="K598" s="241">
        <v>267.3</v>
      </c>
      <c r="L598" s="242">
        <v>282</v>
      </c>
      <c r="M598" s="243">
        <v>287.2</v>
      </c>
      <c r="N598" s="241">
        <v>267.8</v>
      </c>
      <c r="O598" s="242">
        <v>282.7</v>
      </c>
      <c r="P598" s="243">
        <v>287.7</v>
      </c>
      <c r="Z598" s="244">
        <f t="shared" si="28"/>
        <v>60.2</v>
      </c>
      <c r="AA598" s="376">
        <f t="shared" si="29"/>
        <v>2.7341707839078913E-5</v>
      </c>
    </row>
    <row r="599" spans="1:27">
      <c r="A599" s="244">
        <f t="shared" si="27"/>
        <v>60.300000000000004</v>
      </c>
      <c r="B599" s="241">
        <v>266.39999999999998</v>
      </c>
      <c r="C599" s="242">
        <v>280.8</v>
      </c>
      <c r="D599" s="243">
        <v>286.10000000000002</v>
      </c>
      <c r="E599" s="241">
        <v>266.60000000000002</v>
      </c>
      <c r="F599" s="242">
        <v>281.10000000000002</v>
      </c>
      <c r="G599" s="243">
        <v>286.39999999999998</v>
      </c>
      <c r="H599" s="241">
        <v>266.89999999999998</v>
      </c>
      <c r="I599" s="242">
        <v>281.5</v>
      </c>
      <c r="J599" s="243">
        <v>286.7</v>
      </c>
      <c r="K599" s="241">
        <v>267.3</v>
      </c>
      <c r="L599" s="242">
        <v>282</v>
      </c>
      <c r="M599" s="243">
        <v>287.2</v>
      </c>
      <c r="N599" s="241">
        <v>267.8</v>
      </c>
      <c r="O599" s="242">
        <v>282.7</v>
      </c>
      <c r="P599" s="243">
        <v>287.7</v>
      </c>
      <c r="Z599" s="244">
        <f t="shared" si="28"/>
        <v>60.300000000000004</v>
      </c>
      <c r="AA599" s="376">
        <f t="shared" si="29"/>
        <v>2.7217196005436135E-5</v>
      </c>
    </row>
    <row r="600" spans="1:27">
      <c r="A600" s="244">
        <f t="shared" si="27"/>
        <v>60.400000000000006</v>
      </c>
      <c r="B600" s="241">
        <v>266.39999999999998</v>
      </c>
      <c r="C600" s="242">
        <v>280.8</v>
      </c>
      <c r="D600" s="243">
        <v>286.10000000000002</v>
      </c>
      <c r="E600" s="241">
        <v>266.60000000000002</v>
      </c>
      <c r="F600" s="242">
        <v>281.10000000000002</v>
      </c>
      <c r="G600" s="243">
        <v>286.39999999999998</v>
      </c>
      <c r="H600" s="241">
        <v>266.89999999999998</v>
      </c>
      <c r="I600" s="242">
        <v>281.5</v>
      </c>
      <c r="J600" s="243">
        <v>286.7</v>
      </c>
      <c r="K600" s="241">
        <v>267.3</v>
      </c>
      <c r="L600" s="242">
        <v>282</v>
      </c>
      <c r="M600" s="243">
        <v>287.2</v>
      </c>
      <c r="N600" s="241">
        <v>267.8</v>
      </c>
      <c r="O600" s="242">
        <v>282.7</v>
      </c>
      <c r="P600" s="243">
        <v>287.7</v>
      </c>
      <c r="Z600" s="244">
        <f t="shared" si="28"/>
        <v>60.400000000000006</v>
      </c>
      <c r="AA600" s="376">
        <f t="shared" si="29"/>
        <v>2.7093456097380265E-5</v>
      </c>
    </row>
    <row r="601" spans="1:27">
      <c r="A601" s="244">
        <f t="shared" si="27"/>
        <v>60.500000000000007</v>
      </c>
      <c r="B601" s="241">
        <v>266.39999999999998</v>
      </c>
      <c r="C601" s="242">
        <v>280.8</v>
      </c>
      <c r="D601" s="243">
        <v>286.10000000000002</v>
      </c>
      <c r="E601" s="241">
        <v>266.60000000000002</v>
      </c>
      <c r="F601" s="242">
        <v>281.10000000000002</v>
      </c>
      <c r="G601" s="243">
        <v>286.39999999999998</v>
      </c>
      <c r="H601" s="241">
        <v>266.89999999999998</v>
      </c>
      <c r="I601" s="242">
        <v>281.5</v>
      </c>
      <c r="J601" s="243">
        <v>286.7</v>
      </c>
      <c r="K601" s="241">
        <v>267.3</v>
      </c>
      <c r="L601" s="242">
        <v>282</v>
      </c>
      <c r="M601" s="243">
        <v>287.2</v>
      </c>
      <c r="N601" s="241">
        <v>267.8</v>
      </c>
      <c r="O601" s="242">
        <v>282.7</v>
      </c>
      <c r="P601" s="243">
        <v>287.7</v>
      </c>
      <c r="Z601" s="244">
        <f t="shared" si="28"/>
        <v>60.500000000000007</v>
      </c>
      <c r="AA601" s="376">
        <f t="shared" si="29"/>
        <v>2.6970482063105065E-5</v>
      </c>
    </row>
    <row r="602" spans="1:27">
      <c r="A602" s="244">
        <f t="shared" si="27"/>
        <v>60.600000000000009</v>
      </c>
      <c r="B602" s="241">
        <v>266.39999999999998</v>
      </c>
      <c r="C602" s="242">
        <v>280.8</v>
      </c>
      <c r="D602" s="243">
        <v>286.10000000000002</v>
      </c>
      <c r="E602" s="241">
        <v>266.60000000000002</v>
      </c>
      <c r="F602" s="242">
        <v>281.10000000000002</v>
      </c>
      <c r="G602" s="243">
        <v>286.39999999999998</v>
      </c>
      <c r="H602" s="241">
        <v>266.89999999999998</v>
      </c>
      <c r="I602" s="242">
        <v>281.5</v>
      </c>
      <c r="J602" s="243">
        <v>286.7</v>
      </c>
      <c r="K602" s="241">
        <v>267.3</v>
      </c>
      <c r="L602" s="242">
        <v>282</v>
      </c>
      <c r="M602" s="243">
        <v>287.2</v>
      </c>
      <c r="N602" s="241">
        <v>267.8</v>
      </c>
      <c r="O602" s="242">
        <v>282.7</v>
      </c>
      <c r="P602" s="243">
        <v>287.7</v>
      </c>
      <c r="Z602" s="244">
        <f t="shared" si="28"/>
        <v>60.600000000000009</v>
      </c>
      <c r="AA602" s="376">
        <f t="shared" si="29"/>
        <v>2.6848267908143537E-5</v>
      </c>
    </row>
    <row r="603" spans="1:27">
      <c r="A603" s="244">
        <f t="shared" si="27"/>
        <v>60.70000000000001</v>
      </c>
      <c r="B603" s="241">
        <v>266.39999999999998</v>
      </c>
      <c r="C603" s="242">
        <v>280.8</v>
      </c>
      <c r="D603" s="243">
        <v>286.10000000000002</v>
      </c>
      <c r="E603" s="241">
        <v>266.60000000000002</v>
      </c>
      <c r="F603" s="242">
        <v>281.10000000000002</v>
      </c>
      <c r="G603" s="243">
        <v>286.39999999999998</v>
      </c>
      <c r="H603" s="241">
        <v>266.89999999999998</v>
      </c>
      <c r="I603" s="242">
        <v>281.5</v>
      </c>
      <c r="J603" s="243">
        <v>286.7</v>
      </c>
      <c r="K603" s="241">
        <v>267.3</v>
      </c>
      <c r="L603" s="242">
        <v>282</v>
      </c>
      <c r="M603" s="243">
        <v>287.2</v>
      </c>
      <c r="N603" s="241">
        <v>267.8</v>
      </c>
      <c r="O603" s="242">
        <v>282.7</v>
      </c>
      <c r="P603" s="243">
        <v>287.7</v>
      </c>
      <c r="Z603" s="244">
        <f t="shared" si="28"/>
        <v>60.70000000000001</v>
      </c>
      <c r="AA603" s="376">
        <f t="shared" si="29"/>
        <v>2.6726807694731316E-5</v>
      </c>
    </row>
    <row r="604" spans="1:27">
      <c r="A604" s="244">
        <f t="shared" si="27"/>
        <v>60.800000000000011</v>
      </c>
      <c r="B604" s="241">
        <v>266.39999999999998</v>
      </c>
      <c r="C604" s="242">
        <v>280.8</v>
      </c>
      <c r="D604" s="243">
        <v>286.10000000000002</v>
      </c>
      <c r="E604" s="241">
        <v>266.60000000000002</v>
      </c>
      <c r="F604" s="242">
        <v>281.10000000000002</v>
      </c>
      <c r="G604" s="243">
        <v>286.39999999999998</v>
      </c>
      <c r="H604" s="241">
        <v>266.89999999999998</v>
      </c>
      <c r="I604" s="242">
        <v>281.5</v>
      </c>
      <c r="J604" s="243">
        <v>286.7</v>
      </c>
      <c r="K604" s="241">
        <v>267.3</v>
      </c>
      <c r="L604" s="242">
        <v>282</v>
      </c>
      <c r="M604" s="243">
        <v>287.2</v>
      </c>
      <c r="N604" s="241">
        <v>267.8</v>
      </c>
      <c r="O604" s="242">
        <v>282.7</v>
      </c>
      <c r="P604" s="243">
        <v>287.7</v>
      </c>
      <c r="Z604" s="244">
        <f t="shared" si="28"/>
        <v>60.800000000000011</v>
      </c>
      <c r="AA604" s="376">
        <f t="shared" si="29"/>
        <v>2.6606095541178043E-5</v>
      </c>
    </row>
    <row r="605" spans="1:27">
      <c r="A605" s="244">
        <f t="shared" si="27"/>
        <v>60.900000000000013</v>
      </c>
      <c r="B605" s="241">
        <v>266.3</v>
      </c>
      <c r="C605" s="242">
        <v>280.8</v>
      </c>
      <c r="D605" s="243">
        <v>286.10000000000002</v>
      </c>
      <c r="E605" s="241">
        <v>266.60000000000002</v>
      </c>
      <c r="F605" s="242">
        <v>281.10000000000002</v>
      </c>
      <c r="G605" s="243">
        <v>286.39999999999998</v>
      </c>
      <c r="H605" s="241">
        <v>266.89999999999998</v>
      </c>
      <c r="I605" s="242">
        <v>281.5</v>
      </c>
      <c r="J605" s="243">
        <v>286.7</v>
      </c>
      <c r="K605" s="241">
        <v>267.3</v>
      </c>
      <c r="L605" s="242">
        <v>282</v>
      </c>
      <c r="M605" s="243">
        <v>287.2</v>
      </c>
      <c r="N605" s="241">
        <v>267.8</v>
      </c>
      <c r="O605" s="242">
        <v>282.7</v>
      </c>
      <c r="P605" s="243">
        <v>287.7</v>
      </c>
      <c r="Z605" s="244">
        <f t="shared" si="28"/>
        <v>60.900000000000013</v>
      </c>
      <c r="AA605" s="376">
        <f t="shared" si="29"/>
        <v>2.6486125621246695E-5</v>
      </c>
    </row>
    <row r="606" spans="1:27">
      <c r="A606" s="244">
        <f t="shared" si="27"/>
        <v>61.000000000000014</v>
      </c>
      <c r="B606" s="241">
        <v>266.3</v>
      </c>
      <c r="C606" s="242">
        <v>280.8</v>
      </c>
      <c r="D606" s="243">
        <v>286</v>
      </c>
      <c r="E606" s="241">
        <v>266.60000000000002</v>
      </c>
      <c r="F606" s="242">
        <v>281.10000000000002</v>
      </c>
      <c r="G606" s="243">
        <v>286.3</v>
      </c>
      <c r="H606" s="241">
        <v>266.89999999999998</v>
      </c>
      <c r="I606" s="242">
        <v>281.5</v>
      </c>
      <c r="J606" s="243">
        <v>286.7</v>
      </c>
      <c r="K606" s="241">
        <v>267.3</v>
      </c>
      <c r="L606" s="242">
        <v>282</v>
      </c>
      <c r="M606" s="243">
        <v>287.2</v>
      </c>
      <c r="N606" s="241">
        <v>267.8</v>
      </c>
      <c r="O606" s="242">
        <v>282.60000000000002</v>
      </c>
      <c r="P606" s="243">
        <v>287.7</v>
      </c>
      <c r="Z606" s="244">
        <f t="shared" si="28"/>
        <v>61.000000000000014</v>
      </c>
      <c r="AA606" s="376">
        <f t="shared" si="29"/>
        <v>2.6366892163540942E-5</v>
      </c>
    </row>
    <row r="607" spans="1:27">
      <c r="A607" s="244">
        <f t="shared" si="27"/>
        <v>61.100000000000016</v>
      </c>
      <c r="B607" s="241">
        <v>266.3</v>
      </c>
      <c r="C607" s="242">
        <v>280.8</v>
      </c>
      <c r="D607" s="243">
        <v>286</v>
      </c>
      <c r="E607" s="241">
        <v>266.60000000000002</v>
      </c>
      <c r="F607" s="242">
        <v>281.10000000000002</v>
      </c>
      <c r="G607" s="243">
        <v>286.3</v>
      </c>
      <c r="H607" s="241">
        <v>266.89999999999998</v>
      </c>
      <c r="I607" s="242">
        <v>281.5</v>
      </c>
      <c r="J607" s="243">
        <v>286.7</v>
      </c>
      <c r="K607" s="241">
        <v>267.3</v>
      </c>
      <c r="L607" s="242">
        <v>282</v>
      </c>
      <c r="M607" s="243">
        <v>287.10000000000002</v>
      </c>
      <c r="N607" s="241">
        <v>267.8</v>
      </c>
      <c r="O607" s="242">
        <v>282.60000000000002</v>
      </c>
      <c r="P607" s="243">
        <v>287.7</v>
      </c>
      <c r="Z607" s="244">
        <f t="shared" si="28"/>
        <v>61.100000000000016</v>
      </c>
      <c r="AA607" s="376">
        <f t="shared" si="29"/>
        <v>2.624838945090005E-5</v>
      </c>
    </row>
    <row r="608" spans="1:27">
      <c r="A608" s="244">
        <f t="shared" si="27"/>
        <v>61.200000000000017</v>
      </c>
      <c r="B608" s="241">
        <v>266.3</v>
      </c>
      <c r="C608" s="242">
        <v>280.7</v>
      </c>
      <c r="D608" s="243">
        <v>286</v>
      </c>
      <c r="E608" s="241">
        <v>266.60000000000002</v>
      </c>
      <c r="F608" s="242">
        <v>281.10000000000002</v>
      </c>
      <c r="G608" s="243">
        <v>286.3</v>
      </c>
      <c r="H608" s="241">
        <v>266.89999999999998</v>
      </c>
      <c r="I608" s="242">
        <v>281.5</v>
      </c>
      <c r="J608" s="243">
        <v>286.7</v>
      </c>
      <c r="K608" s="241">
        <v>267.3</v>
      </c>
      <c r="L608" s="242">
        <v>282</v>
      </c>
      <c r="M608" s="243">
        <v>287.10000000000002</v>
      </c>
      <c r="N608" s="241">
        <v>267.8</v>
      </c>
      <c r="O608" s="242">
        <v>282.60000000000002</v>
      </c>
      <c r="P608" s="243">
        <v>287.7</v>
      </c>
      <c r="Z608" s="244">
        <f t="shared" si="28"/>
        <v>61.200000000000017</v>
      </c>
      <c r="AA608" s="376">
        <f t="shared" si="29"/>
        <v>2.6130611819801662E-5</v>
      </c>
    </row>
    <row r="609" spans="1:27">
      <c r="A609" s="244">
        <f t="shared" si="27"/>
        <v>61.300000000000018</v>
      </c>
      <c r="B609" s="241">
        <v>266.3</v>
      </c>
      <c r="C609" s="242">
        <v>280.7</v>
      </c>
      <c r="D609" s="243">
        <v>286</v>
      </c>
      <c r="E609" s="241">
        <v>266.5</v>
      </c>
      <c r="F609" s="242">
        <v>281.10000000000002</v>
      </c>
      <c r="G609" s="243">
        <v>286.3</v>
      </c>
      <c r="H609" s="241">
        <v>266.89999999999998</v>
      </c>
      <c r="I609" s="242">
        <v>281.5</v>
      </c>
      <c r="J609" s="243">
        <v>286.7</v>
      </c>
      <c r="K609" s="241">
        <v>267.3</v>
      </c>
      <c r="L609" s="242">
        <v>282</v>
      </c>
      <c r="M609" s="243">
        <v>287.10000000000002</v>
      </c>
      <c r="N609" s="241">
        <v>267.8</v>
      </c>
      <c r="O609" s="242">
        <v>282.60000000000002</v>
      </c>
      <c r="P609" s="243">
        <v>287.7</v>
      </c>
      <c r="Z609" s="244">
        <f t="shared" si="28"/>
        <v>61.300000000000018</v>
      </c>
      <c r="AA609" s="376">
        <f t="shared" si="29"/>
        <v>2.6013553659771922E-5</v>
      </c>
    </row>
    <row r="610" spans="1:27">
      <c r="A610" s="244">
        <f t="shared" si="27"/>
        <v>61.40000000000002</v>
      </c>
      <c r="B610" s="241">
        <v>266.3</v>
      </c>
      <c r="C610" s="242">
        <v>280.7</v>
      </c>
      <c r="D610" s="243">
        <v>286</v>
      </c>
      <c r="E610" s="241">
        <v>266.5</v>
      </c>
      <c r="F610" s="242">
        <v>281</v>
      </c>
      <c r="G610" s="243">
        <v>286.3</v>
      </c>
      <c r="H610" s="241">
        <v>266.89999999999998</v>
      </c>
      <c r="I610" s="242">
        <v>281.5</v>
      </c>
      <c r="J610" s="243">
        <v>286.7</v>
      </c>
      <c r="K610" s="241">
        <v>267.3</v>
      </c>
      <c r="L610" s="242">
        <v>282</v>
      </c>
      <c r="M610" s="243">
        <v>287.10000000000002</v>
      </c>
      <c r="N610" s="241">
        <v>267.8</v>
      </c>
      <c r="O610" s="242">
        <v>282.60000000000002</v>
      </c>
      <c r="P610" s="243">
        <v>287.7</v>
      </c>
      <c r="Z610" s="244">
        <f t="shared" si="28"/>
        <v>61.40000000000002</v>
      </c>
      <c r="AA610" s="376">
        <f t="shared" si="29"/>
        <v>2.5897209412803155E-5</v>
      </c>
    </row>
    <row r="611" spans="1:27">
      <c r="A611" s="244">
        <f t="shared" si="27"/>
        <v>61.500000000000021</v>
      </c>
      <c r="B611" s="241">
        <v>266.2</v>
      </c>
      <c r="C611" s="242">
        <v>280.7</v>
      </c>
      <c r="D611" s="243">
        <v>286</v>
      </c>
      <c r="E611" s="241">
        <v>266.5</v>
      </c>
      <c r="F611" s="242">
        <v>281</v>
      </c>
      <c r="G611" s="243">
        <v>286.3</v>
      </c>
      <c r="H611" s="241">
        <v>266.8</v>
      </c>
      <c r="I611" s="242">
        <v>281.39999999999998</v>
      </c>
      <c r="J611" s="243">
        <v>286.60000000000002</v>
      </c>
      <c r="K611" s="241">
        <v>267.3</v>
      </c>
      <c r="L611" s="242">
        <v>282</v>
      </c>
      <c r="M611" s="243">
        <v>287.10000000000002</v>
      </c>
      <c r="N611" s="241">
        <v>267.8</v>
      </c>
      <c r="O611" s="242">
        <v>282.60000000000002</v>
      </c>
      <c r="P611" s="243">
        <v>287.7</v>
      </c>
      <c r="Z611" s="244">
        <f t="shared" si="28"/>
        <v>61.500000000000021</v>
      </c>
      <c r="AA611" s="376">
        <f t="shared" si="29"/>
        <v>2.5781573572778841E-5</v>
      </c>
    </row>
    <row r="612" spans="1:27">
      <c r="A612" s="244">
        <f t="shared" si="27"/>
        <v>61.600000000000023</v>
      </c>
      <c r="B612" s="241">
        <v>266.2</v>
      </c>
      <c r="C612" s="242">
        <v>280.7</v>
      </c>
      <c r="D612" s="243">
        <v>286</v>
      </c>
      <c r="E612" s="241">
        <v>266.5</v>
      </c>
      <c r="F612" s="242">
        <v>281</v>
      </c>
      <c r="G612" s="243">
        <v>286.3</v>
      </c>
      <c r="H612" s="241">
        <v>266.8</v>
      </c>
      <c r="I612" s="242">
        <v>281.39999999999998</v>
      </c>
      <c r="J612" s="243">
        <v>286.60000000000002</v>
      </c>
      <c r="K612" s="241">
        <v>267.2</v>
      </c>
      <c r="L612" s="242">
        <v>282</v>
      </c>
      <c r="M612" s="243">
        <v>287.10000000000002</v>
      </c>
      <c r="N612" s="241">
        <v>267.8</v>
      </c>
      <c r="O612" s="242">
        <v>282.60000000000002</v>
      </c>
      <c r="P612" s="243">
        <v>287.7</v>
      </c>
      <c r="Z612" s="244">
        <f t="shared" si="28"/>
        <v>61.600000000000023</v>
      </c>
      <c r="AA612" s="376">
        <f t="shared" si="29"/>
        <v>2.5666640684905805E-5</v>
      </c>
    </row>
    <row r="613" spans="1:27">
      <c r="A613" s="244">
        <f t="shared" si="27"/>
        <v>61.700000000000024</v>
      </c>
      <c r="B613" s="241">
        <v>266.2</v>
      </c>
      <c r="C613" s="242">
        <v>280.60000000000002</v>
      </c>
      <c r="D613" s="243">
        <v>285.89999999999998</v>
      </c>
      <c r="E613" s="241">
        <v>266.5</v>
      </c>
      <c r="F613" s="242">
        <v>281</v>
      </c>
      <c r="G613" s="243">
        <v>286.2</v>
      </c>
      <c r="H613" s="241">
        <v>266.8</v>
      </c>
      <c r="I613" s="242">
        <v>281.39999999999998</v>
      </c>
      <c r="J613" s="243">
        <v>286.60000000000002</v>
      </c>
      <c r="K613" s="241">
        <v>267.2</v>
      </c>
      <c r="L613" s="242">
        <v>282</v>
      </c>
      <c r="M613" s="243">
        <v>287.10000000000002</v>
      </c>
      <c r="N613" s="241">
        <v>267.8</v>
      </c>
      <c r="O613" s="242">
        <v>282.60000000000002</v>
      </c>
      <c r="P613" s="243">
        <v>287.7</v>
      </c>
      <c r="Z613" s="244">
        <f t="shared" si="28"/>
        <v>61.700000000000024</v>
      </c>
      <c r="AA613" s="376">
        <f t="shared" si="29"/>
        <v>2.5552405345153519E-5</v>
      </c>
    </row>
    <row r="614" spans="1:27">
      <c r="A614" s="244">
        <f t="shared" si="27"/>
        <v>61.800000000000026</v>
      </c>
      <c r="B614" s="241">
        <v>266.2</v>
      </c>
      <c r="C614" s="242">
        <v>280.60000000000002</v>
      </c>
      <c r="D614" s="243">
        <v>285.89999999999998</v>
      </c>
      <c r="E614" s="241">
        <v>266.5</v>
      </c>
      <c r="F614" s="242">
        <v>281</v>
      </c>
      <c r="G614" s="243">
        <v>286.2</v>
      </c>
      <c r="H614" s="241">
        <v>266.8</v>
      </c>
      <c r="I614" s="242">
        <v>281.39999999999998</v>
      </c>
      <c r="J614" s="243">
        <v>286.60000000000002</v>
      </c>
      <c r="K614" s="241">
        <v>267.2</v>
      </c>
      <c r="L614" s="242">
        <v>281.89999999999998</v>
      </c>
      <c r="M614" s="243">
        <v>287.10000000000002</v>
      </c>
      <c r="N614" s="241">
        <v>267.7</v>
      </c>
      <c r="O614" s="242">
        <v>282.60000000000002</v>
      </c>
      <c r="P614" s="243">
        <v>287.7</v>
      </c>
      <c r="Z614" s="244">
        <f t="shared" si="28"/>
        <v>61.800000000000026</v>
      </c>
      <c r="AA614" s="376">
        <f t="shared" si="29"/>
        <v>2.543886219970048E-5</v>
      </c>
    </row>
    <row r="615" spans="1:27">
      <c r="A615" s="244">
        <f t="shared" si="27"/>
        <v>61.900000000000027</v>
      </c>
      <c r="B615" s="241">
        <v>266.10000000000002</v>
      </c>
      <c r="C615" s="242">
        <v>280.60000000000002</v>
      </c>
      <c r="D615" s="243">
        <v>285.89999999999998</v>
      </c>
      <c r="E615" s="241">
        <v>266.39999999999998</v>
      </c>
      <c r="F615" s="242">
        <v>280.89999999999998</v>
      </c>
      <c r="G615" s="243">
        <v>286.2</v>
      </c>
      <c r="H615" s="241">
        <v>266.8</v>
      </c>
      <c r="I615" s="242">
        <v>281.39999999999998</v>
      </c>
      <c r="J615" s="243">
        <v>286.60000000000002</v>
      </c>
      <c r="K615" s="241">
        <v>267.2</v>
      </c>
      <c r="L615" s="242">
        <v>281.89999999999998</v>
      </c>
      <c r="M615" s="243">
        <v>287.10000000000002</v>
      </c>
      <c r="N615" s="241">
        <v>267.7</v>
      </c>
      <c r="O615" s="242">
        <v>282.60000000000002</v>
      </c>
      <c r="P615" s="243">
        <v>287.7</v>
      </c>
      <c r="Z615" s="244">
        <f t="shared" si="28"/>
        <v>61.900000000000027</v>
      </c>
      <c r="AA615" s="376">
        <f t="shared" si="29"/>
        <v>2.5326005944387412E-5</v>
      </c>
    </row>
    <row r="616" spans="1:27">
      <c r="A616" s="244">
        <f t="shared" si="27"/>
        <v>62.000000000000028</v>
      </c>
      <c r="B616" s="241">
        <v>266.10000000000002</v>
      </c>
      <c r="C616" s="242">
        <v>280.5</v>
      </c>
      <c r="D616" s="243">
        <v>285.8</v>
      </c>
      <c r="E616" s="241">
        <v>266.39999999999998</v>
      </c>
      <c r="F616" s="242">
        <v>280.89999999999998</v>
      </c>
      <c r="G616" s="243">
        <v>286.2</v>
      </c>
      <c r="H616" s="241">
        <v>266.7</v>
      </c>
      <c r="I616" s="242">
        <v>281.3</v>
      </c>
      <c r="J616" s="243">
        <v>286.60000000000002</v>
      </c>
      <c r="K616" s="241">
        <v>267.2</v>
      </c>
      <c r="L616" s="242">
        <v>281.89999999999998</v>
      </c>
      <c r="M616" s="243">
        <v>287.10000000000002</v>
      </c>
      <c r="N616" s="241">
        <v>267.7</v>
      </c>
      <c r="O616" s="242">
        <v>282.60000000000002</v>
      </c>
      <c r="P616" s="243">
        <v>287.7</v>
      </c>
      <c r="Z616" s="244">
        <f t="shared" si="28"/>
        <v>62.000000000000028</v>
      </c>
      <c r="AA616" s="376">
        <f t="shared" si="29"/>
        <v>2.5213831324177426E-5</v>
      </c>
    </row>
    <row r="617" spans="1:27">
      <c r="A617" s="244">
        <f t="shared" si="27"/>
        <v>62.10000000000003</v>
      </c>
      <c r="B617" s="241">
        <v>266.10000000000002</v>
      </c>
      <c r="C617" s="242">
        <v>280.5</v>
      </c>
      <c r="D617" s="243">
        <v>285.8</v>
      </c>
      <c r="E617" s="241">
        <v>266.39999999999998</v>
      </c>
      <c r="F617" s="242">
        <v>280.89999999999998</v>
      </c>
      <c r="G617" s="243">
        <v>286.10000000000002</v>
      </c>
      <c r="H617" s="241">
        <v>266.7</v>
      </c>
      <c r="I617" s="242">
        <v>281.3</v>
      </c>
      <c r="J617" s="243">
        <v>286.5</v>
      </c>
      <c r="K617" s="241">
        <v>267.2</v>
      </c>
      <c r="L617" s="242">
        <v>281.89999999999998</v>
      </c>
      <c r="M617" s="243">
        <v>287</v>
      </c>
      <c r="N617" s="241">
        <v>267.7</v>
      </c>
      <c r="O617" s="242">
        <v>282.60000000000002</v>
      </c>
      <c r="P617" s="243">
        <v>287.60000000000002</v>
      </c>
      <c r="Z617" s="244">
        <f t="shared" si="28"/>
        <v>62.10000000000003</v>
      </c>
      <c r="AA617" s="376">
        <f t="shared" si="29"/>
        <v>2.5102333132622763E-5</v>
      </c>
    </row>
    <row r="618" spans="1:27">
      <c r="A618" s="244">
        <f t="shared" si="27"/>
        <v>62.200000000000031</v>
      </c>
      <c r="B618" s="241">
        <v>266</v>
      </c>
      <c r="C618" s="242">
        <v>280.39999999999998</v>
      </c>
      <c r="D618" s="243">
        <v>285.8</v>
      </c>
      <c r="E618" s="241">
        <v>266.3</v>
      </c>
      <c r="F618" s="242">
        <v>280.8</v>
      </c>
      <c r="G618" s="243">
        <v>286.10000000000002</v>
      </c>
      <c r="H618" s="241">
        <v>266.7</v>
      </c>
      <c r="I618" s="242">
        <v>281.3</v>
      </c>
      <c r="J618" s="243">
        <v>286.5</v>
      </c>
      <c r="K618" s="241">
        <v>267.10000000000002</v>
      </c>
      <c r="L618" s="242">
        <v>281.89999999999998</v>
      </c>
      <c r="M618" s="243">
        <v>287</v>
      </c>
      <c r="N618" s="241">
        <v>267.7</v>
      </c>
      <c r="O618" s="242">
        <v>282.60000000000002</v>
      </c>
      <c r="P618" s="243">
        <v>287.60000000000002</v>
      </c>
      <c r="Z618" s="244">
        <f t="shared" si="28"/>
        <v>62.200000000000031</v>
      </c>
      <c r="AA618" s="376">
        <f t="shared" si="29"/>
        <v>2.4991506211338301E-5</v>
      </c>
    </row>
    <row r="619" spans="1:27">
      <c r="A619" s="244">
        <f t="shared" si="27"/>
        <v>62.300000000000033</v>
      </c>
      <c r="B619" s="241">
        <v>266</v>
      </c>
      <c r="C619" s="242">
        <v>280.39999999999998</v>
      </c>
      <c r="D619" s="243">
        <v>285.7</v>
      </c>
      <c r="E619" s="241">
        <v>266.3</v>
      </c>
      <c r="F619" s="242">
        <v>280.8</v>
      </c>
      <c r="G619" s="243">
        <v>286.10000000000002</v>
      </c>
      <c r="H619" s="241">
        <v>266.60000000000002</v>
      </c>
      <c r="I619" s="242">
        <v>281.2</v>
      </c>
      <c r="J619" s="243">
        <v>286.5</v>
      </c>
      <c r="K619" s="241">
        <v>267.10000000000002</v>
      </c>
      <c r="L619" s="242">
        <v>281.8</v>
      </c>
      <c r="M619" s="243">
        <v>287</v>
      </c>
      <c r="N619" s="241">
        <v>267.7</v>
      </c>
      <c r="O619" s="242">
        <v>282.5</v>
      </c>
      <c r="P619" s="243">
        <v>287.60000000000002</v>
      </c>
      <c r="Z619" s="244">
        <f t="shared" si="28"/>
        <v>62.300000000000033</v>
      </c>
      <c r="AA619" s="376">
        <f t="shared" si="29"/>
        <v>2.4881345449481491E-5</v>
      </c>
    </row>
    <row r="620" spans="1:27">
      <c r="A620" s="244">
        <f t="shared" si="27"/>
        <v>62.400000000000034</v>
      </c>
      <c r="B620" s="241">
        <v>265.89999999999998</v>
      </c>
      <c r="C620" s="242">
        <v>280.3</v>
      </c>
      <c r="D620" s="243">
        <v>285.60000000000002</v>
      </c>
      <c r="E620" s="241">
        <v>266.2</v>
      </c>
      <c r="F620" s="242">
        <v>280.7</v>
      </c>
      <c r="G620" s="243">
        <v>286</v>
      </c>
      <c r="H620" s="241">
        <v>266.60000000000002</v>
      </c>
      <c r="I620" s="242">
        <v>281.2</v>
      </c>
      <c r="J620" s="243">
        <v>286.39999999999998</v>
      </c>
      <c r="K620" s="241">
        <v>267.10000000000002</v>
      </c>
      <c r="L620" s="242">
        <v>281.8</v>
      </c>
      <c r="M620" s="243">
        <v>287</v>
      </c>
      <c r="N620" s="241">
        <v>267.7</v>
      </c>
      <c r="O620" s="242">
        <v>282.5</v>
      </c>
      <c r="P620" s="243">
        <v>287.60000000000002</v>
      </c>
      <c r="Z620" s="244">
        <f t="shared" si="28"/>
        <v>62.400000000000034</v>
      </c>
      <c r="AA620" s="376">
        <f t="shared" si="29"/>
        <v>2.4771845783238836E-5</v>
      </c>
    </row>
    <row r="621" spans="1:27">
      <c r="A621" s="244">
        <f t="shared" si="27"/>
        <v>62.500000000000036</v>
      </c>
      <c r="B621" s="241">
        <v>265.8</v>
      </c>
      <c r="C621" s="242">
        <v>280.2</v>
      </c>
      <c r="D621" s="243">
        <v>285.60000000000002</v>
      </c>
      <c r="E621" s="241">
        <v>266.2</v>
      </c>
      <c r="F621" s="242">
        <v>280.60000000000002</v>
      </c>
      <c r="G621" s="243">
        <v>285.89999999999998</v>
      </c>
      <c r="H621" s="241">
        <v>266.5</v>
      </c>
      <c r="I621" s="242">
        <v>281.10000000000002</v>
      </c>
      <c r="J621" s="243">
        <v>286.39999999999998</v>
      </c>
      <c r="K621" s="241">
        <v>267</v>
      </c>
      <c r="L621" s="242">
        <v>281.7</v>
      </c>
      <c r="M621" s="243">
        <v>286.89999999999998</v>
      </c>
      <c r="N621" s="241">
        <v>267.60000000000002</v>
      </c>
      <c r="O621" s="242">
        <v>282.5</v>
      </c>
      <c r="P621" s="243">
        <v>287.60000000000002</v>
      </c>
      <c r="Z621" s="244">
        <f t="shared" si="28"/>
        <v>62.500000000000036</v>
      </c>
      <c r="AA621" s="376">
        <f t="shared" si="29"/>
        <v>2.4663002195318669E-5</v>
      </c>
    </row>
    <row r="622" spans="1:27">
      <c r="A622" s="244">
        <f t="shared" si="27"/>
        <v>62.600000000000037</v>
      </c>
      <c r="B622" s="241">
        <v>265.7</v>
      </c>
      <c r="C622" s="242">
        <v>280.10000000000002</v>
      </c>
      <c r="D622" s="243">
        <v>285.5</v>
      </c>
      <c r="E622" s="241">
        <v>266.10000000000002</v>
      </c>
      <c r="F622" s="242">
        <v>280.5</v>
      </c>
      <c r="G622" s="243">
        <v>285.89999999999998</v>
      </c>
      <c r="H622" s="241">
        <v>266.5</v>
      </c>
      <c r="I622" s="242">
        <v>281</v>
      </c>
      <c r="J622" s="243">
        <v>286.3</v>
      </c>
      <c r="K622" s="241">
        <v>267</v>
      </c>
      <c r="L622" s="242">
        <v>281.7</v>
      </c>
      <c r="M622" s="243">
        <v>286.89999999999998</v>
      </c>
      <c r="N622" s="241">
        <v>267.60000000000002</v>
      </c>
      <c r="O622" s="242">
        <v>282.5</v>
      </c>
      <c r="P622" s="243">
        <v>287.60000000000002</v>
      </c>
      <c r="Z622" s="244">
        <f t="shared" si="28"/>
        <v>62.600000000000037</v>
      </c>
      <c r="AA622" s="376">
        <f t="shared" si="29"/>
        <v>2.4554809714450247E-5</v>
      </c>
    </row>
    <row r="623" spans="1:27">
      <c r="A623" s="244">
        <f t="shared" si="27"/>
        <v>62.700000000000038</v>
      </c>
      <c r="B623" s="241">
        <v>265.60000000000002</v>
      </c>
      <c r="C623" s="242">
        <v>280</v>
      </c>
      <c r="D623" s="243">
        <v>285.39999999999998</v>
      </c>
      <c r="E623" s="241">
        <v>266</v>
      </c>
      <c r="F623" s="242">
        <v>280.39999999999998</v>
      </c>
      <c r="G623" s="243">
        <v>285.8</v>
      </c>
      <c r="H623" s="241">
        <v>266.39999999999998</v>
      </c>
      <c r="I623" s="242">
        <v>280.89999999999998</v>
      </c>
      <c r="J623" s="243">
        <v>286.2</v>
      </c>
      <c r="K623" s="241">
        <v>266.89999999999998</v>
      </c>
      <c r="L623" s="242">
        <v>281.60000000000002</v>
      </c>
      <c r="M623" s="243">
        <v>286.8</v>
      </c>
      <c r="N623" s="241">
        <v>267.60000000000002</v>
      </c>
      <c r="O623" s="242">
        <v>282.39999999999998</v>
      </c>
      <c r="P623" s="243">
        <v>287.5</v>
      </c>
      <c r="Z623" s="244">
        <f t="shared" si="28"/>
        <v>62.700000000000038</v>
      </c>
      <c r="AA623" s="376">
        <f t="shared" si="29"/>
        <v>2.4447263414888946E-5</v>
      </c>
    </row>
    <row r="624" spans="1:27">
      <c r="A624" s="244">
        <f t="shared" si="27"/>
        <v>62.80000000000004</v>
      </c>
      <c r="B624" s="241">
        <v>265.5</v>
      </c>
      <c r="C624" s="242">
        <v>279.8</v>
      </c>
      <c r="D624" s="243">
        <v>285.3</v>
      </c>
      <c r="E624" s="241">
        <v>265.89999999999998</v>
      </c>
      <c r="F624" s="242">
        <v>280.3</v>
      </c>
      <c r="G624" s="243">
        <v>285.7</v>
      </c>
      <c r="H624" s="241">
        <v>266.3</v>
      </c>
      <c r="I624" s="242">
        <v>280.8</v>
      </c>
      <c r="J624" s="243">
        <v>286.10000000000002</v>
      </c>
      <c r="K624" s="241">
        <v>266.89999999999998</v>
      </c>
      <c r="L624" s="242">
        <v>281.60000000000002</v>
      </c>
      <c r="M624" s="243">
        <v>286.8</v>
      </c>
      <c r="N624" s="241">
        <v>267.60000000000002</v>
      </c>
      <c r="O624" s="242">
        <v>282.39999999999998</v>
      </c>
      <c r="P624" s="243">
        <v>287.5</v>
      </c>
      <c r="Z624" s="244">
        <f t="shared" si="28"/>
        <v>62.80000000000004</v>
      </c>
      <c r="AA624" s="376">
        <f t="shared" si="29"/>
        <v>2.4340358415927692E-5</v>
      </c>
    </row>
    <row r="625" spans="1:27">
      <c r="A625" s="244">
        <f t="shared" si="27"/>
        <v>62.900000000000041</v>
      </c>
      <c r="B625" s="241">
        <v>265.39999999999998</v>
      </c>
      <c r="C625" s="242">
        <v>279.7</v>
      </c>
      <c r="D625" s="243">
        <v>285.10000000000002</v>
      </c>
      <c r="E625" s="241">
        <v>265.8</v>
      </c>
      <c r="F625" s="242">
        <v>280.2</v>
      </c>
      <c r="G625" s="243">
        <v>285.5</v>
      </c>
      <c r="H625" s="241">
        <v>266.2</v>
      </c>
      <c r="I625" s="242">
        <v>280.7</v>
      </c>
      <c r="J625" s="243">
        <v>286</v>
      </c>
      <c r="K625" s="241">
        <v>266.8</v>
      </c>
      <c r="L625" s="242">
        <v>281.5</v>
      </c>
      <c r="M625" s="243">
        <v>286.7</v>
      </c>
      <c r="N625" s="241">
        <v>267.5</v>
      </c>
      <c r="O625" s="242">
        <v>282.39999999999998</v>
      </c>
      <c r="P625" s="243">
        <v>287.5</v>
      </c>
      <c r="Z625" s="244">
        <f t="shared" si="28"/>
        <v>62.900000000000041</v>
      </c>
      <c r="AA625" s="376">
        <f t="shared" si="29"/>
        <v>2.423408988141423E-5</v>
      </c>
    </row>
    <row r="626" spans="1:27">
      <c r="A626" s="244">
        <f t="shared" si="27"/>
        <v>63.000000000000043</v>
      </c>
      <c r="B626" s="241">
        <v>265.2</v>
      </c>
      <c r="C626" s="242">
        <v>279.5</v>
      </c>
      <c r="D626" s="243">
        <v>285</v>
      </c>
      <c r="E626" s="241">
        <v>265.60000000000002</v>
      </c>
      <c r="F626" s="242">
        <v>280</v>
      </c>
      <c r="G626" s="243">
        <v>285.39999999999998</v>
      </c>
      <c r="H626" s="241">
        <v>266.10000000000002</v>
      </c>
      <c r="I626" s="242">
        <v>280.60000000000002</v>
      </c>
      <c r="J626" s="243">
        <v>285.89999999999998</v>
      </c>
      <c r="K626" s="241">
        <v>266.8</v>
      </c>
      <c r="L626" s="242">
        <v>281.39999999999998</v>
      </c>
      <c r="M626" s="243">
        <v>286.60000000000002</v>
      </c>
      <c r="N626" s="241">
        <v>267.5</v>
      </c>
      <c r="O626" s="242">
        <v>282.3</v>
      </c>
      <c r="P626" s="243">
        <v>287.39999999999998</v>
      </c>
      <c r="Z626" s="244">
        <f t="shared" si="28"/>
        <v>63.000000000000043</v>
      </c>
      <c r="AA626" s="376">
        <f t="shared" si="29"/>
        <v>2.4128453019274498E-5</v>
      </c>
    </row>
    <row r="627" spans="1:27">
      <c r="A627" s="244">
        <f t="shared" si="27"/>
        <v>63.100000000000044</v>
      </c>
      <c r="B627" s="241">
        <v>265.10000000000002</v>
      </c>
      <c r="C627" s="242">
        <v>279.3</v>
      </c>
      <c r="D627" s="243">
        <v>284.8</v>
      </c>
      <c r="E627" s="241">
        <v>265.5</v>
      </c>
      <c r="F627" s="242">
        <v>279.8</v>
      </c>
      <c r="G627" s="243">
        <v>285.3</v>
      </c>
      <c r="H627" s="241">
        <v>266</v>
      </c>
      <c r="I627" s="242">
        <v>280.5</v>
      </c>
      <c r="J627" s="243">
        <v>285.8</v>
      </c>
      <c r="K627" s="241">
        <v>266.7</v>
      </c>
      <c r="L627" s="242">
        <v>281.3</v>
      </c>
      <c r="M627" s="243">
        <v>286.5</v>
      </c>
      <c r="N627" s="241">
        <v>267.39999999999998</v>
      </c>
      <c r="O627" s="242">
        <v>282.3</v>
      </c>
      <c r="P627" s="243">
        <v>287.39999999999998</v>
      </c>
      <c r="Z627" s="244">
        <f t="shared" si="28"/>
        <v>63.100000000000044</v>
      </c>
      <c r="AA627" s="376">
        <f t="shared" si="29"/>
        <v>2.4023443081041709E-5</v>
      </c>
    </row>
    <row r="628" spans="1:27">
      <c r="A628" s="244">
        <f t="shared" si="27"/>
        <v>63.200000000000045</v>
      </c>
      <c r="B628" s="241">
        <v>264.89999999999998</v>
      </c>
      <c r="C628" s="242">
        <v>279.10000000000002</v>
      </c>
      <c r="D628" s="243">
        <v>284.60000000000002</v>
      </c>
      <c r="E628" s="241">
        <v>265.3</v>
      </c>
      <c r="F628" s="242">
        <v>279.7</v>
      </c>
      <c r="G628" s="243">
        <v>285.10000000000002</v>
      </c>
      <c r="H628" s="241">
        <v>265.89999999999998</v>
      </c>
      <c r="I628" s="242">
        <v>280.3</v>
      </c>
      <c r="J628" s="243">
        <v>285.7</v>
      </c>
      <c r="K628" s="241">
        <v>266.60000000000002</v>
      </c>
      <c r="L628" s="242">
        <v>281.2</v>
      </c>
      <c r="M628" s="243">
        <v>286.5</v>
      </c>
      <c r="N628" s="241">
        <v>267.39999999999998</v>
      </c>
      <c r="O628" s="242">
        <v>282.2</v>
      </c>
      <c r="P628" s="243">
        <v>287.3</v>
      </c>
      <c r="Z628" s="244">
        <f t="shared" si="28"/>
        <v>63.200000000000045</v>
      </c>
      <c r="AA628" s="376">
        <f t="shared" si="29"/>
        <v>2.3919055361391258E-5</v>
      </c>
    </row>
    <row r="629" spans="1:27">
      <c r="A629" s="244">
        <f t="shared" si="27"/>
        <v>63.300000000000047</v>
      </c>
      <c r="B629" s="241">
        <v>264.7</v>
      </c>
      <c r="C629" s="242">
        <v>278.8</v>
      </c>
      <c r="D629" s="243">
        <v>284.39999999999998</v>
      </c>
      <c r="E629" s="241">
        <v>265.2</v>
      </c>
      <c r="F629" s="242">
        <v>279.5</v>
      </c>
      <c r="G629" s="243">
        <v>284.89999999999998</v>
      </c>
      <c r="H629" s="241">
        <v>265.8</v>
      </c>
      <c r="I629" s="242">
        <v>280.2</v>
      </c>
      <c r="J629" s="243">
        <v>285.60000000000002</v>
      </c>
      <c r="K629" s="241">
        <v>266.5</v>
      </c>
      <c r="L629" s="242">
        <v>281.10000000000002</v>
      </c>
      <c r="M629" s="243">
        <v>286.39999999999998</v>
      </c>
      <c r="N629" s="241">
        <v>267.39999999999998</v>
      </c>
      <c r="O629" s="242">
        <v>282.2</v>
      </c>
      <c r="P629" s="243">
        <v>287.3</v>
      </c>
      <c r="Z629" s="244">
        <f t="shared" si="28"/>
        <v>63.300000000000047</v>
      </c>
      <c r="AA629" s="376">
        <f t="shared" si="29"/>
        <v>2.3815285197681357E-5</v>
      </c>
    </row>
    <row r="630" spans="1:27">
      <c r="A630" s="244">
        <f t="shared" si="27"/>
        <v>63.400000000000048</v>
      </c>
      <c r="B630" s="241">
        <v>264.39999999999998</v>
      </c>
      <c r="C630" s="242">
        <v>278.60000000000002</v>
      </c>
      <c r="D630" s="243">
        <v>284.2</v>
      </c>
      <c r="E630" s="241">
        <v>265</v>
      </c>
      <c r="F630" s="242">
        <v>279.2</v>
      </c>
      <c r="G630" s="243">
        <v>284.8</v>
      </c>
      <c r="H630" s="241">
        <v>265.60000000000002</v>
      </c>
      <c r="I630" s="242">
        <v>280</v>
      </c>
      <c r="J630" s="243">
        <v>285.39999999999998</v>
      </c>
      <c r="K630" s="241">
        <v>266.39999999999998</v>
      </c>
      <c r="L630" s="242">
        <v>281</v>
      </c>
      <c r="M630" s="243">
        <v>286.3</v>
      </c>
      <c r="N630" s="241">
        <v>267.3</v>
      </c>
      <c r="O630" s="242">
        <v>282.10000000000002</v>
      </c>
      <c r="P630" s="243">
        <v>287.2</v>
      </c>
      <c r="Z630" s="244">
        <f t="shared" si="28"/>
        <v>63.400000000000048</v>
      </c>
      <c r="AA630" s="376">
        <f t="shared" si="29"/>
        <v>2.3712127969499176E-5</v>
      </c>
    </row>
    <row r="631" spans="1:27">
      <c r="A631" s="244">
        <f t="shared" si="27"/>
        <v>63.50000000000005</v>
      </c>
      <c r="B631" s="241">
        <v>264.2</v>
      </c>
      <c r="C631" s="242">
        <v>278.3</v>
      </c>
      <c r="D631" s="243">
        <v>283.89999999999998</v>
      </c>
      <c r="E631" s="241">
        <v>264.8</v>
      </c>
      <c r="F631" s="242">
        <v>279</v>
      </c>
      <c r="G631" s="243">
        <v>284.60000000000002</v>
      </c>
      <c r="H631" s="241">
        <v>265.39999999999998</v>
      </c>
      <c r="I631" s="242">
        <v>279.8</v>
      </c>
      <c r="J631" s="243">
        <v>285.3</v>
      </c>
      <c r="K631" s="241">
        <v>266.3</v>
      </c>
      <c r="L631" s="242">
        <v>280.8</v>
      </c>
      <c r="M631" s="243">
        <v>286.2</v>
      </c>
      <c r="N631" s="241">
        <v>267.2</v>
      </c>
      <c r="O631" s="242">
        <v>282</v>
      </c>
      <c r="P631" s="243">
        <v>287.2</v>
      </c>
      <c r="Z631" s="244">
        <f t="shared" si="28"/>
        <v>63.50000000000005</v>
      </c>
      <c r="AA631" s="376">
        <f t="shared" si="29"/>
        <v>2.36095790982126E-5</v>
      </c>
    </row>
    <row r="632" spans="1:27">
      <c r="A632" s="244">
        <f t="shared" si="27"/>
        <v>63.600000000000051</v>
      </c>
      <c r="B632" s="241">
        <v>263.89999999999998</v>
      </c>
      <c r="C632" s="242">
        <v>278</v>
      </c>
      <c r="D632" s="243">
        <v>283.7</v>
      </c>
      <c r="E632" s="241">
        <v>264.5</v>
      </c>
      <c r="F632" s="242">
        <v>278.7</v>
      </c>
      <c r="G632" s="243">
        <v>284.3</v>
      </c>
      <c r="H632" s="241">
        <v>265.3</v>
      </c>
      <c r="I632" s="242">
        <v>279.60000000000002</v>
      </c>
      <c r="J632" s="243">
        <v>285.10000000000002</v>
      </c>
      <c r="K632" s="241">
        <v>266.2</v>
      </c>
      <c r="L632" s="242">
        <v>280.7</v>
      </c>
      <c r="M632" s="243">
        <v>286</v>
      </c>
      <c r="N632" s="241">
        <v>267.2</v>
      </c>
      <c r="O632" s="242">
        <v>281.89999999999998</v>
      </c>
      <c r="P632" s="243">
        <v>287.10000000000002</v>
      </c>
      <c r="Z632" s="244">
        <f t="shared" si="28"/>
        <v>63.600000000000051</v>
      </c>
      <c r="AA632" s="376">
        <f t="shared" si="29"/>
        <v>2.3507634046527399E-5</v>
      </c>
    </row>
    <row r="633" spans="1:27">
      <c r="A633" s="244">
        <f t="shared" si="27"/>
        <v>63.700000000000053</v>
      </c>
      <c r="B633" s="241">
        <v>263.60000000000002</v>
      </c>
      <c r="C633" s="242">
        <v>277.60000000000002</v>
      </c>
      <c r="D633" s="243">
        <v>283.39999999999998</v>
      </c>
      <c r="E633" s="241">
        <v>264.3</v>
      </c>
      <c r="F633" s="242">
        <v>278.39999999999998</v>
      </c>
      <c r="G633" s="243">
        <v>284.10000000000002</v>
      </c>
      <c r="H633" s="241">
        <v>265.10000000000002</v>
      </c>
      <c r="I633" s="242">
        <v>279.39999999999998</v>
      </c>
      <c r="J633" s="243">
        <v>284.89999999999998</v>
      </c>
      <c r="K633" s="241">
        <v>266</v>
      </c>
      <c r="L633" s="242">
        <v>280.5</v>
      </c>
      <c r="M633" s="243">
        <v>285.89999999999998</v>
      </c>
      <c r="N633" s="241">
        <v>267.10000000000002</v>
      </c>
      <c r="O633" s="242">
        <v>281.89999999999998</v>
      </c>
      <c r="P633" s="243">
        <v>287</v>
      </c>
      <c r="Z633" s="244">
        <f t="shared" si="28"/>
        <v>63.700000000000053</v>
      </c>
      <c r="AA633" s="376">
        <f t="shared" si="29"/>
        <v>2.3406288318049823E-5</v>
      </c>
    </row>
    <row r="634" spans="1:27">
      <c r="A634" s="244">
        <f t="shared" si="27"/>
        <v>63.800000000000054</v>
      </c>
      <c r="B634" s="241">
        <v>263.2</v>
      </c>
      <c r="C634" s="242">
        <v>277.2</v>
      </c>
      <c r="D634" s="243">
        <v>283</v>
      </c>
      <c r="E634" s="241">
        <v>264</v>
      </c>
      <c r="F634" s="242">
        <v>278.10000000000002</v>
      </c>
      <c r="G634" s="243">
        <v>283.8</v>
      </c>
      <c r="H634" s="241">
        <v>264.8</v>
      </c>
      <c r="I634" s="242">
        <v>279.10000000000002</v>
      </c>
      <c r="J634" s="243">
        <v>284.7</v>
      </c>
      <c r="K634" s="241">
        <v>265.89999999999998</v>
      </c>
      <c r="L634" s="242">
        <v>280.39999999999998</v>
      </c>
      <c r="M634" s="243">
        <v>285.8</v>
      </c>
      <c r="N634" s="241">
        <v>267</v>
      </c>
      <c r="O634" s="242">
        <v>281.8</v>
      </c>
      <c r="P634" s="243">
        <v>287</v>
      </c>
      <c r="Z634" s="244">
        <f t="shared" si="28"/>
        <v>63.800000000000054</v>
      </c>
      <c r="AA634" s="376">
        <f t="shared" si="29"/>
        <v>2.3305537456854413E-5</v>
      </c>
    </row>
    <row r="635" spans="1:27">
      <c r="A635" s="244">
        <f t="shared" si="27"/>
        <v>63.900000000000055</v>
      </c>
      <c r="B635" s="241">
        <v>262.8</v>
      </c>
      <c r="C635" s="242">
        <v>276.7</v>
      </c>
      <c r="D635" s="243">
        <v>282.60000000000002</v>
      </c>
      <c r="E635" s="241">
        <v>263.7</v>
      </c>
      <c r="F635" s="242">
        <v>277.7</v>
      </c>
      <c r="G635" s="243">
        <v>283.5</v>
      </c>
      <c r="H635" s="241">
        <v>264.60000000000002</v>
      </c>
      <c r="I635" s="242">
        <v>278.8</v>
      </c>
      <c r="J635" s="243">
        <v>284.39999999999998</v>
      </c>
      <c r="K635" s="241">
        <v>265.7</v>
      </c>
      <c r="L635" s="242">
        <v>280.2</v>
      </c>
      <c r="M635" s="243">
        <v>285.60000000000002</v>
      </c>
      <c r="N635" s="241">
        <v>267</v>
      </c>
      <c r="O635" s="242">
        <v>281.7</v>
      </c>
      <c r="P635" s="243">
        <v>286.89999999999998</v>
      </c>
      <c r="Z635" s="244">
        <f t="shared" si="28"/>
        <v>63.900000000000055</v>
      </c>
      <c r="AA635" s="376">
        <f t="shared" si="29"/>
        <v>2.3205377047057166E-5</v>
      </c>
    </row>
    <row r="636" spans="1:27">
      <c r="A636" s="244">
        <f t="shared" si="27"/>
        <v>64.000000000000057</v>
      </c>
      <c r="B636" s="241">
        <v>262.39999999999998</v>
      </c>
      <c r="C636" s="242">
        <v>276.2</v>
      </c>
      <c r="D636" s="243">
        <v>282.2</v>
      </c>
      <c r="E636" s="241">
        <v>263.3</v>
      </c>
      <c r="F636" s="242">
        <v>277.3</v>
      </c>
      <c r="G636" s="243">
        <v>283.2</v>
      </c>
      <c r="H636" s="241">
        <v>264.3</v>
      </c>
      <c r="I636" s="242">
        <v>278.5</v>
      </c>
      <c r="J636" s="243">
        <v>284.2</v>
      </c>
      <c r="K636" s="241">
        <v>265.5</v>
      </c>
      <c r="L636" s="242">
        <v>280</v>
      </c>
      <c r="M636" s="243">
        <v>285.39999999999998</v>
      </c>
      <c r="N636" s="241">
        <v>266.89999999999998</v>
      </c>
      <c r="O636" s="242">
        <v>281.60000000000002</v>
      </c>
      <c r="P636" s="243">
        <v>286.8</v>
      </c>
      <c r="Z636" s="244">
        <f t="shared" si="28"/>
        <v>64.000000000000057</v>
      </c>
      <c r="AA636" s="376">
        <f t="shared" si="29"/>
        <v>2.3105802712393767E-5</v>
      </c>
    </row>
    <row r="637" spans="1:27">
      <c r="A637" s="244">
        <f t="shared" si="27"/>
        <v>64.100000000000051</v>
      </c>
      <c r="B637" s="241">
        <v>261.89999999999998</v>
      </c>
      <c r="C637" s="242">
        <v>275.7</v>
      </c>
      <c r="D637" s="243">
        <v>281.8</v>
      </c>
      <c r="E637" s="241">
        <v>262.89999999999998</v>
      </c>
      <c r="F637" s="242">
        <v>276.89999999999998</v>
      </c>
      <c r="G637" s="243">
        <v>282.8</v>
      </c>
      <c r="H637" s="241">
        <v>264</v>
      </c>
      <c r="I637" s="242">
        <v>278.2</v>
      </c>
      <c r="J637" s="243">
        <v>283.89999999999998</v>
      </c>
      <c r="K637" s="241">
        <v>265.3</v>
      </c>
      <c r="L637" s="242">
        <v>279.8</v>
      </c>
      <c r="M637" s="243">
        <v>285.3</v>
      </c>
      <c r="N637" s="241">
        <v>266.8</v>
      </c>
      <c r="O637" s="242">
        <v>281.5</v>
      </c>
      <c r="P637" s="243">
        <v>286.7</v>
      </c>
      <c r="Z637" s="244">
        <f t="shared" si="28"/>
        <v>64.100000000000051</v>
      </c>
      <c r="AA637" s="376">
        <f t="shared" si="29"/>
        <v>2.3006810115802958E-5</v>
      </c>
    </row>
    <row r="638" spans="1:27">
      <c r="A638" s="244">
        <f t="shared" si="27"/>
        <v>64.200000000000045</v>
      </c>
      <c r="B638" s="241">
        <v>261.3</v>
      </c>
      <c r="C638" s="242">
        <v>275</v>
      </c>
      <c r="D638" s="243">
        <v>281.3</v>
      </c>
      <c r="E638" s="241">
        <v>262.5</v>
      </c>
      <c r="F638" s="242">
        <v>276.39999999999998</v>
      </c>
      <c r="G638" s="243">
        <v>282.39999999999998</v>
      </c>
      <c r="H638" s="241">
        <v>263.7</v>
      </c>
      <c r="I638" s="242">
        <v>277.8</v>
      </c>
      <c r="J638" s="243">
        <v>283.60000000000002</v>
      </c>
      <c r="K638" s="241">
        <v>265.10000000000002</v>
      </c>
      <c r="L638" s="242">
        <v>279.5</v>
      </c>
      <c r="M638" s="243">
        <v>285.10000000000002</v>
      </c>
      <c r="N638" s="241">
        <v>266.7</v>
      </c>
      <c r="O638" s="242">
        <v>281.39999999999998</v>
      </c>
      <c r="P638" s="243">
        <v>286.60000000000002</v>
      </c>
      <c r="Z638" s="244">
        <f t="shared" si="28"/>
        <v>64.200000000000045</v>
      </c>
      <c r="AA638" s="376">
        <f t="shared" si="29"/>
        <v>2.2908394959014907E-5</v>
      </c>
    </row>
    <row r="639" spans="1:27">
      <c r="A639" s="244">
        <f t="shared" si="27"/>
        <v>64.30000000000004</v>
      </c>
      <c r="B639" s="241">
        <v>260.3</v>
      </c>
      <c r="C639" s="242">
        <v>274</v>
      </c>
      <c r="D639" s="243">
        <v>280.39999999999998</v>
      </c>
      <c r="E639" s="241">
        <v>261.8</v>
      </c>
      <c r="F639" s="242">
        <v>275.7</v>
      </c>
      <c r="G639" s="243">
        <v>281.8</v>
      </c>
      <c r="H639" s="241">
        <v>263.3</v>
      </c>
      <c r="I639" s="242">
        <v>277.39999999999998</v>
      </c>
      <c r="J639" s="243">
        <v>283.3</v>
      </c>
      <c r="K639" s="241">
        <v>264.89999999999998</v>
      </c>
      <c r="L639" s="242">
        <v>279.3</v>
      </c>
      <c r="M639" s="243">
        <v>284.8</v>
      </c>
      <c r="N639" s="241">
        <v>266.60000000000002</v>
      </c>
      <c r="O639" s="242">
        <v>281.2</v>
      </c>
      <c r="P639" s="243">
        <v>286.5</v>
      </c>
      <c r="Z639" s="244">
        <f t="shared" si="28"/>
        <v>64.30000000000004</v>
      </c>
      <c r="AA639" s="376">
        <f t="shared" si="29"/>
        <v>2.2810552982144542E-5</v>
      </c>
    </row>
    <row r="640" spans="1:27">
      <c r="A640" s="244">
        <f t="shared" si="27"/>
        <v>64.400000000000034</v>
      </c>
      <c r="B640" s="241">
        <v>259.2</v>
      </c>
      <c r="C640" s="242">
        <v>272.89999999999998</v>
      </c>
      <c r="D640" s="243">
        <v>279.5</v>
      </c>
      <c r="E640" s="241">
        <v>261.10000000000002</v>
      </c>
      <c r="F640" s="242">
        <v>274.89999999999998</v>
      </c>
      <c r="G640" s="243">
        <v>281.2</v>
      </c>
      <c r="H640" s="241">
        <v>262.8</v>
      </c>
      <c r="I640" s="242">
        <v>276.89999999999998</v>
      </c>
      <c r="J640" s="243">
        <v>282.8</v>
      </c>
      <c r="K640" s="241">
        <v>264.60000000000002</v>
      </c>
      <c r="L640" s="242">
        <v>279</v>
      </c>
      <c r="M640" s="243">
        <v>284.60000000000002</v>
      </c>
      <c r="N640" s="241">
        <v>266.39999999999998</v>
      </c>
      <c r="O640" s="242">
        <v>281.10000000000002</v>
      </c>
      <c r="P640" s="243">
        <v>286.39999999999998</v>
      </c>
      <c r="Z640" s="244">
        <f t="shared" si="28"/>
        <v>64.400000000000034</v>
      </c>
      <c r="AA640" s="376">
        <f t="shared" si="29"/>
        <v>2.2713279963289799E-5</v>
      </c>
    </row>
    <row r="641" spans="1:27">
      <c r="A641" s="244">
        <f t="shared" si="27"/>
        <v>64.500000000000028</v>
      </c>
      <c r="B641" s="241">
        <v>258</v>
      </c>
      <c r="C641" s="242">
        <v>271.7</v>
      </c>
      <c r="D641" s="243">
        <v>278.5</v>
      </c>
      <c r="E641" s="241">
        <v>260.2</v>
      </c>
      <c r="F641" s="242">
        <v>274</v>
      </c>
      <c r="G641" s="243">
        <v>280.5</v>
      </c>
      <c r="H641" s="241">
        <v>262.3</v>
      </c>
      <c r="I641" s="242">
        <v>276.3</v>
      </c>
      <c r="J641" s="243">
        <v>282.39999999999998</v>
      </c>
      <c r="K641" s="241">
        <v>264.39999999999998</v>
      </c>
      <c r="L641" s="242">
        <v>278.60000000000002</v>
      </c>
      <c r="M641" s="243">
        <v>284.3</v>
      </c>
      <c r="N641" s="241">
        <v>266.3</v>
      </c>
      <c r="O641" s="242">
        <v>281</v>
      </c>
      <c r="P641" s="243">
        <v>286.3</v>
      </c>
      <c r="Z641" s="244">
        <f t="shared" si="28"/>
        <v>64.500000000000028</v>
      </c>
      <c r="AA641" s="376">
        <f t="shared" si="29"/>
        <v>2.2616571718134621E-5</v>
      </c>
    </row>
    <row r="642" spans="1:27">
      <c r="A642" s="244">
        <f t="shared" si="27"/>
        <v>64.600000000000023</v>
      </c>
      <c r="B642" s="241">
        <v>257</v>
      </c>
      <c r="C642" s="242">
        <v>270.5</v>
      </c>
      <c r="D642" s="243">
        <v>277.7</v>
      </c>
      <c r="E642" s="241">
        <v>259.39999999999998</v>
      </c>
      <c r="F642" s="242">
        <v>273.10000000000002</v>
      </c>
      <c r="G642" s="243">
        <v>279.8</v>
      </c>
      <c r="H642" s="241">
        <v>261.7</v>
      </c>
      <c r="I642" s="242">
        <v>275.7</v>
      </c>
      <c r="J642" s="243">
        <v>281.89999999999998</v>
      </c>
      <c r="K642" s="241">
        <v>264</v>
      </c>
      <c r="L642" s="242">
        <v>278.3</v>
      </c>
      <c r="M642" s="243">
        <v>284.10000000000002</v>
      </c>
      <c r="N642" s="241">
        <v>266.2</v>
      </c>
      <c r="O642" s="242">
        <v>280.8</v>
      </c>
      <c r="P642" s="243">
        <v>286.2</v>
      </c>
      <c r="Z642" s="244">
        <f t="shared" si="28"/>
        <v>64.600000000000023</v>
      </c>
      <c r="AA642" s="376">
        <f t="shared" si="29"/>
        <v>2.2520424099556825E-5</v>
      </c>
    </row>
    <row r="643" spans="1:27">
      <c r="A643" s="244">
        <f t="shared" si="27"/>
        <v>64.700000000000017</v>
      </c>
      <c r="B643" s="241">
        <v>256.10000000000002</v>
      </c>
      <c r="C643" s="242">
        <v>269.10000000000002</v>
      </c>
      <c r="D643" s="243">
        <v>277</v>
      </c>
      <c r="E643" s="241">
        <v>258.7</v>
      </c>
      <c r="F643" s="242">
        <v>272.10000000000002</v>
      </c>
      <c r="G643" s="243">
        <v>279.2</v>
      </c>
      <c r="H643" s="241">
        <v>261.2</v>
      </c>
      <c r="I643" s="242">
        <v>275</v>
      </c>
      <c r="J643" s="243">
        <v>281.39999999999998</v>
      </c>
      <c r="K643" s="241">
        <v>263.7</v>
      </c>
      <c r="L643" s="242">
        <v>277.89999999999998</v>
      </c>
      <c r="M643" s="243">
        <v>283.7</v>
      </c>
      <c r="N643" s="241">
        <v>266</v>
      </c>
      <c r="O643" s="242">
        <v>280.60000000000002</v>
      </c>
      <c r="P643" s="243">
        <v>286</v>
      </c>
      <c r="Z643" s="244">
        <f t="shared" si="28"/>
        <v>64.700000000000017</v>
      </c>
      <c r="AA643" s="376">
        <f t="shared" si="29"/>
        <v>2.2424832997240519E-5</v>
      </c>
    </row>
    <row r="644" spans="1:27">
      <c r="A644" s="244">
        <f t="shared" si="27"/>
        <v>64.800000000000011</v>
      </c>
      <c r="B644" s="241">
        <v>252.8</v>
      </c>
      <c r="C644" s="242">
        <v>266.39999999999998</v>
      </c>
      <c r="D644" s="243">
        <v>274.2</v>
      </c>
      <c r="E644" s="241">
        <v>256.39999999999998</v>
      </c>
      <c r="F644" s="242">
        <v>270.2</v>
      </c>
      <c r="G644" s="243">
        <v>277.39999999999998</v>
      </c>
      <c r="H644" s="241">
        <v>260</v>
      </c>
      <c r="I644" s="242">
        <v>273.89999999999998</v>
      </c>
      <c r="J644" s="243">
        <v>280.5</v>
      </c>
      <c r="K644" s="241">
        <v>263.2</v>
      </c>
      <c r="L644" s="242">
        <v>277.39999999999998</v>
      </c>
      <c r="M644" s="243">
        <v>283.3</v>
      </c>
      <c r="N644" s="241">
        <v>265.8</v>
      </c>
      <c r="O644" s="242">
        <v>280.39999999999998</v>
      </c>
      <c r="P644" s="243">
        <v>285.89999999999998</v>
      </c>
      <c r="Z644" s="244">
        <f t="shared" si="28"/>
        <v>64.800000000000011</v>
      </c>
      <c r="AA644" s="376">
        <f t="shared" si="29"/>
        <v>2.2329794337293251E-5</v>
      </c>
    </row>
    <row r="645" spans="1:27">
      <c r="A645" s="244">
        <f t="shared" si="27"/>
        <v>64.900000000000006</v>
      </c>
      <c r="B645" s="241">
        <v>249.4</v>
      </c>
      <c r="C645" s="242">
        <v>263.2</v>
      </c>
      <c r="D645" s="243">
        <v>271.3</v>
      </c>
      <c r="E645" s="241">
        <v>254</v>
      </c>
      <c r="F645" s="242">
        <v>267.89999999999998</v>
      </c>
      <c r="G645" s="243">
        <v>275.39999999999998</v>
      </c>
      <c r="H645" s="241">
        <v>258.5</v>
      </c>
      <c r="I645" s="242">
        <v>272.5</v>
      </c>
      <c r="J645" s="243">
        <v>279.3</v>
      </c>
      <c r="K645" s="241">
        <v>262.7</v>
      </c>
      <c r="L645" s="242">
        <v>276.8</v>
      </c>
      <c r="M645" s="243">
        <v>282.89999999999998</v>
      </c>
      <c r="N645" s="241">
        <v>265.7</v>
      </c>
      <c r="O645" s="242">
        <v>280.2</v>
      </c>
      <c r="P645" s="243">
        <v>285.7</v>
      </c>
      <c r="Z645" s="244">
        <f t="shared" si="28"/>
        <v>64.900000000000006</v>
      </c>
      <c r="AA645" s="376">
        <f t="shared" si="29"/>
        <v>2.2235304081867718E-5</v>
      </c>
    </row>
    <row r="646" spans="1:27">
      <c r="A646" s="244">
        <f t="shared" si="27"/>
        <v>65</v>
      </c>
      <c r="B646" s="241">
        <v>246</v>
      </c>
      <c r="C646" s="242">
        <v>259.89999999999998</v>
      </c>
      <c r="D646" s="243">
        <v>268.39999999999998</v>
      </c>
      <c r="E646" s="241">
        <v>251.5</v>
      </c>
      <c r="F646" s="242">
        <v>265.39999999999998</v>
      </c>
      <c r="G646" s="243">
        <v>273.3</v>
      </c>
      <c r="H646" s="241">
        <v>256.89999999999998</v>
      </c>
      <c r="I646" s="242">
        <v>270.89999999999998</v>
      </c>
      <c r="J646" s="243">
        <v>278</v>
      </c>
      <c r="K646" s="241">
        <v>262</v>
      </c>
      <c r="L646" s="242">
        <v>276.10000000000002</v>
      </c>
      <c r="M646" s="243">
        <v>282.3</v>
      </c>
      <c r="N646" s="241">
        <v>265.5</v>
      </c>
      <c r="O646" s="242">
        <v>280</v>
      </c>
      <c r="P646" s="243">
        <v>285.5</v>
      </c>
      <c r="Z646" s="244">
        <f t="shared" si="28"/>
        <v>65</v>
      </c>
      <c r="AA646" s="376">
        <f t="shared" si="29"/>
        <v>2.2141358228787922E-5</v>
      </c>
    </row>
    <row r="647" spans="1:27">
      <c r="A647" s="244">
        <f t="shared" ref="A647:A710" si="30">A646+0.1</f>
        <v>65.099999999999994</v>
      </c>
      <c r="B647" s="241">
        <v>243</v>
      </c>
      <c r="C647" s="242">
        <v>256.89999999999998</v>
      </c>
      <c r="D647" s="243">
        <v>266</v>
      </c>
      <c r="E647" s="241">
        <v>249.1</v>
      </c>
      <c r="F647" s="242">
        <v>263</v>
      </c>
      <c r="G647" s="243">
        <v>271.39999999999998</v>
      </c>
      <c r="H647" s="241">
        <v>255.3</v>
      </c>
      <c r="I647" s="242">
        <v>269.3</v>
      </c>
      <c r="J647" s="243">
        <v>276.8</v>
      </c>
      <c r="K647" s="241">
        <v>261.3</v>
      </c>
      <c r="L647" s="242">
        <v>275.39999999999998</v>
      </c>
      <c r="M647" s="243">
        <v>281.8</v>
      </c>
      <c r="N647" s="241">
        <v>265.2</v>
      </c>
      <c r="O647" s="242">
        <v>279.7</v>
      </c>
      <c r="P647" s="243">
        <v>285.3</v>
      </c>
      <c r="Z647" s="244">
        <f t="shared" ref="Z647:Z710" si="31">Z646+0.1</f>
        <v>65.099999999999994</v>
      </c>
      <c r="AA647" s="376">
        <f t="shared" ref="AA647:AA710" si="32">T_gal(Z647)</f>
        <v>2.2047952811179803E-5</v>
      </c>
    </row>
    <row r="648" spans="1:27">
      <c r="A648" s="244">
        <f t="shared" si="30"/>
        <v>65.199999999999989</v>
      </c>
      <c r="B648" s="241">
        <v>241.5</v>
      </c>
      <c r="C648" s="242">
        <v>254.1</v>
      </c>
      <c r="D648" s="243">
        <v>265.3</v>
      </c>
      <c r="E648" s="241">
        <v>247.7</v>
      </c>
      <c r="F648" s="242">
        <v>260.8</v>
      </c>
      <c r="G648" s="243">
        <v>270.7</v>
      </c>
      <c r="H648" s="241">
        <v>254.3</v>
      </c>
      <c r="I648" s="242">
        <v>267.7</v>
      </c>
      <c r="J648" s="243">
        <v>276.10000000000002</v>
      </c>
      <c r="K648" s="241">
        <v>260.60000000000002</v>
      </c>
      <c r="L648" s="242">
        <v>274.60000000000002</v>
      </c>
      <c r="M648" s="243">
        <v>281.2</v>
      </c>
      <c r="N648" s="241">
        <v>265</v>
      </c>
      <c r="O648" s="242">
        <v>279.5</v>
      </c>
      <c r="P648" s="243">
        <v>285.10000000000002</v>
      </c>
      <c r="Z648" s="244">
        <f t="shared" si="31"/>
        <v>65.199999999999989</v>
      </c>
      <c r="AA648" s="376">
        <f t="shared" si="32"/>
        <v>2.1955083897106292E-5</v>
      </c>
    </row>
    <row r="649" spans="1:27">
      <c r="A649" s="244">
        <f t="shared" si="30"/>
        <v>65.299999999999983</v>
      </c>
      <c r="B649" s="241">
        <v>235.2</v>
      </c>
      <c r="C649" s="242">
        <v>248.9</v>
      </c>
      <c r="D649" s="243">
        <v>259.5</v>
      </c>
      <c r="E649" s="241">
        <v>242.8</v>
      </c>
      <c r="F649" s="242">
        <v>256.60000000000002</v>
      </c>
      <c r="G649" s="243">
        <v>266.3</v>
      </c>
      <c r="H649" s="241">
        <v>251</v>
      </c>
      <c r="I649" s="242">
        <v>264.89999999999998</v>
      </c>
      <c r="J649" s="243">
        <v>273.39999999999998</v>
      </c>
      <c r="K649" s="241">
        <v>259.3</v>
      </c>
      <c r="L649" s="242">
        <v>273.39999999999998</v>
      </c>
      <c r="M649" s="243">
        <v>280.2</v>
      </c>
      <c r="N649" s="241">
        <v>264.7</v>
      </c>
      <c r="O649" s="242">
        <v>279.2</v>
      </c>
      <c r="P649" s="243">
        <v>284.8</v>
      </c>
      <c r="Z649" s="244">
        <f t="shared" si="31"/>
        <v>65.299999999999983</v>
      </c>
      <c r="AA649" s="376">
        <f t="shared" si="32"/>
        <v>2.186274758920661E-5</v>
      </c>
    </row>
    <row r="650" spans="1:27">
      <c r="A650" s="244">
        <f t="shared" si="30"/>
        <v>65.399999999999977</v>
      </c>
      <c r="B650" s="241">
        <v>228.2</v>
      </c>
      <c r="C650" s="242">
        <v>242.3</v>
      </c>
      <c r="D650" s="243">
        <v>252.7</v>
      </c>
      <c r="E650" s="241">
        <v>237</v>
      </c>
      <c r="F650" s="242">
        <v>251.2</v>
      </c>
      <c r="G650" s="243">
        <v>260.89999999999998</v>
      </c>
      <c r="H650" s="241">
        <v>246.9</v>
      </c>
      <c r="I650" s="242">
        <v>261.2</v>
      </c>
      <c r="J650" s="243">
        <v>269.8</v>
      </c>
      <c r="K650" s="241">
        <v>257.5</v>
      </c>
      <c r="L650" s="242">
        <v>271.7</v>
      </c>
      <c r="M650" s="243">
        <v>278.8</v>
      </c>
      <c r="N650" s="241">
        <v>264.3</v>
      </c>
      <c r="O650" s="242">
        <v>278.8</v>
      </c>
      <c r="P650" s="243">
        <v>284.60000000000002</v>
      </c>
      <c r="Z650" s="244">
        <f t="shared" si="31"/>
        <v>65.399999999999977</v>
      </c>
      <c r="AA650" s="376">
        <f t="shared" si="32"/>
        <v>2.177094002433992E-5</v>
      </c>
    </row>
    <row r="651" spans="1:27">
      <c r="A651" s="244">
        <f t="shared" si="30"/>
        <v>65.499999999999972</v>
      </c>
      <c r="B651" s="241">
        <v>221.7</v>
      </c>
      <c r="C651" s="242">
        <v>235.9</v>
      </c>
      <c r="D651" s="243">
        <v>246.5</v>
      </c>
      <c r="E651" s="241">
        <v>231.5</v>
      </c>
      <c r="F651" s="242">
        <v>245.8</v>
      </c>
      <c r="G651" s="243">
        <v>255.8</v>
      </c>
      <c r="H651" s="241">
        <v>242.8</v>
      </c>
      <c r="I651" s="242">
        <v>257.2</v>
      </c>
      <c r="J651" s="243">
        <v>266.2</v>
      </c>
      <c r="K651" s="241">
        <v>255.4</v>
      </c>
      <c r="L651" s="242">
        <v>269.7</v>
      </c>
      <c r="M651" s="243">
        <v>277.2</v>
      </c>
      <c r="N651" s="241">
        <v>264</v>
      </c>
      <c r="O651" s="242">
        <v>278.39999999999998</v>
      </c>
      <c r="P651" s="243">
        <v>284.2</v>
      </c>
      <c r="Z651" s="244">
        <f t="shared" si="31"/>
        <v>65.499999999999972</v>
      </c>
      <c r="AA651" s="376">
        <f t="shared" si="32"/>
        <v>2.1679657373233126E-5</v>
      </c>
    </row>
    <row r="652" spans="1:27">
      <c r="A652" s="244">
        <f t="shared" si="30"/>
        <v>65.599999999999966</v>
      </c>
      <c r="B652" s="241">
        <v>215.9</v>
      </c>
      <c r="C652" s="242">
        <v>230</v>
      </c>
      <c r="D652" s="243">
        <v>241.2</v>
      </c>
      <c r="E652" s="241">
        <v>226.4</v>
      </c>
      <c r="F652" s="242">
        <v>240.7</v>
      </c>
      <c r="G652" s="243">
        <v>251.3</v>
      </c>
      <c r="H652" s="241">
        <v>238.8</v>
      </c>
      <c r="I652" s="242">
        <v>253.3</v>
      </c>
      <c r="J652" s="243">
        <v>262.89999999999998</v>
      </c>
      <c r="K652" s="241">
        <v>253.3</v>
      </c>
      <c r="L652" s="242">
        <v>267.7</v>
      </c>
      <c r="M652" s="243">
        <v>275.5</v>
      </c>
      <c r="N652" s="241">
        <v>263.5</v>
      </c>
      <c r="O652" s="242">
        <v>277.89999999999998</v>
      </c>
      <c r="P652" s="243">
        <v>283.89999999999998</v>
      </c>
      <c r="Z652" s="244">
        <f t="shared" si="31"/>
        <v>65.599999999999966</v>
      </c>
      <c r="AA652" s="376">
        <f t="shared" si="32"/>
        <v>2.158889584013284E-5</v>
      </c>
    </row>
    <row r="653" spans="1:27">
      <c r="A653" s="244">
        <f t="shared" si="30"/>
        <v>65.69999999999996</v>
      </c>
      <c r="B653" s="241">
        <v>211.2</v>
      </c>
      <c r="C653" s="242">
        <v>224.9</v>
      </c>
      <c r="D653" s="243">
        <v>237.5</v>
      </c>
      <c r="E653" s="241">
        <v>222.2</v>
      </c>
      <c r="F653" s="242">
        <v>236.2</v>
      </c>
      <c r="G653" s="243">
        <v>248.1</v>
      </c>
      <c r="H653" s="241">
        <v>235.4</v>
      </c>
      <c r="I653" s="242">
        <v>249.6</v>
      </c>
      <c r="J653" s="243">
        <v>260.3</v>
      </c>
      <c r="K653" s="241">
        <v>251.3</v>
      </c>
      <c r="L653" s="242">
        <v>265.60000000000002</v>
      </c>
      <c r="M653" s="243">
        <v>274</v>
      </c>
      <c r="N653" s="241">
        <v>263</v>
      </c>
      <c r="O653" s="242">
        <v>277.39999999999998</v>
      </c>
      <c r="P653" s="243">
        <v>283.5</v>
      </c>
      <c r="Z653" s="244">
        <f t="shared" si="31"/>
        <v>65.69999999999996</v>
      </c>
      <c r="AA653" s="376">
        <f t="shared" si="32"/>
        <v>2.1498651662461507E-5</v>
      </c>
    </row>
    <row r="654" spans="1:27">
      <c r="A654" s="244">
        <f t="shared" si="30"/>
        <v>65.799999999999955</v>
      </c>
      <c r="B654" s="241">
        <v>205.8</v>
      </c>
      <c r="C654" s="242">
        <v>218.7</v>
      </c>
      <c r="D654" s="243">
        <v>232.9</v>
      </c>
      <c r="E654" s="241">
        <v>217.3</v>
      </c>
      <c r="F654" s="242">
        <v>230.6</v>
      </c>
      <c r="G654" s="243">
        <v>244</v>
      </c>
      <c r="H654" s="241">
        <v>231.4</v>
      </c>
      <c r="I654" s="242">
        <v>245.1</v>
      </c>
      <c r="J654" s="243">
        <v>257.10000000000002</v>
      </c>
      <c r="K654" s="241">
        <v>248.8</v>
      </c>
      <c r="L654" s="242">
        <v>262.89999999999998</v>
      </c>
      <c r="M654" s="243">
        <v>272.2</v>
      </c>
      <c r="N654" s="241">
        <v>262.39999999999998</v>
      </c>
      <c r="O654" s="242">
        <v>276.8</v>
      </c>
      <c r="P654" s="243">
        <v>283</v>
      </c>
      <c r="Z654" s="244">
        <f t="shared" si="31"/>
        <v>65.799999999999955</v>
      </c>
      <c r="AA654" s="376">
        <f t="shared" si="32"/>
        <v>2.1408921110477479E-5</v>
      </c>
    </row>
    <row r="655" spans="1:27">
      <c r="A655" s="244">
        <f t="shared" si="30"/>
        <v>65.899999999999949</v>
      </c>
      <c r="B655" s="241">
        <v>196</v>
      </c>
      <c r="C655" s="242">
        <v>209.8</v>
      </c>
      <c r="D655" s="243">
        <v>222.1</v>
      </c>
      <c r="E655" s="241">
        <v>208.3</v>
      </c>
      <c r="F655" s="242">
        <v>222.5</v>
      </c>
      <c r="G655" s="243">
        <v>234.4</v>
      </c>
      <c r="H655" s="241">
        <v>223.9</v>
      </c>
      <c r="I655" s="242">
        <v>238.4</v>
      </c>
      <c r="J655" s="243">
        <v>249.5</v>
      </c>
      <c r="K655" s="241">
        <v>244.3</v>
      </c>
      <c r="L655" s="242">
        <v>258.89999999999998</v>
      </c>
      <c r="M655" s="243">
        <v>268.10000000000002</v>
      </c>
      <c r="N655" s="241">
        <v>261.60000000000002</v>
      </c>
      <c r="O655" s="242">
        <v>276</v>
      </c>
      <c r="P655" s="243">
        <v>282.39999999999998</v>
      </c>
      <c r="Z655" s="244">
        <f t="shared" si="31"/>
        <v>65.899999999999949</v>
      </c>
      <c r="AA655" s="376">
        <f t="shared" si="32"/>
        <v>2.1319700486939169E-5</v>
      </c>
    </row>
    <row r="656" spans="1:27">
      <c r="A656" s="244">
        <f t="shared" si="30"/>
        <v>65.999999999999943</v>
      </c>
      <c r="B656" s="241">
        <v>187.9</v>
      </c>
      <c r="C656" s="242">
        <v>201.4</v>
      </c>
      <c r="D656" s="243">
        <v>213.4</v>
      </c>
      <c r="E656" s="241">
        <v>200.7</v>
      </c>
      <c r="F656" s="242">
        <v>214.7</v>
      </c>
      <c r="G656" s="243">
        <v>226.4</v>
      </c>
      <c r="H656" s="241">
        <v>217.3</v>
      </c>
      <c r="I656" s="242">
        <v>231.7</v>
      </c>
      <c r="J656" s="243">
        <v>242.9</v>
      </c>
      <c r="K656" s="241">
        <v>239.9</v>
      </c>
      <c r="L656" s="242">
        <v>254.6</v>
      </c>
      <c r="M656" s="243">
        <v>264.10000000000002</v>
      </c>
      <c r="N656" s="241">
        <v>260.5</v>
      </c>
      <c r="O656" s="242">
        <v>275</v>
      </c>
      <c r="P656" s="243">
        <v>281.60000000000002</v>
      </c>
      <c r="Z656" s="244">
        <f t="shared" si="31"/>
        <v>65.999999999999943</v>
      </c>
      <c r="AA656" s="376">
        <f t="shared" si="32"/>
        <v>2.1230986126773059E-5</v>
      </c>
    </row>
    <row r="657" spans="1:27">
      <c r="A657" s="244">
        <f t="shared" si="30"/>
        <v>66.099999999999937</v>
      </c>
      <c r="B657" s="241">
        <v>180.6</v>
      </c>
      <c r="C657" s="242">
        <v>193.9</v>
      </c>
      <c r="D657" s="243">
        <v>205.9</v>
      </c>
      <c r="E657" s="241">
        <v>193.8</v>
      </c>
      <c r="F657" s="242">
        <v>207.6</v>
      </c>
      <c r="G657" s="243">
        <v>219.5</v>
      </c>
      <c r="H657" s="241">
        <v>211.1</v>
      </c>
      <c r="I657" s="242">
        <v>225.4</v>
      </c>
      <c r="J657" s="243">
        <v>236.9</v>
      </c>
      <c r="K657" s="241">
        <v>235.5</v>
      </c>
      <c r="L657" s="242">
        <v>250.2</v>
      </c>
      <c r="M657" s="243">
        <v>260.2</v>
      </c>
      <c r="N657" s="241">
        <v>259.3</v>
      </c>
      <c r="O657" s="242">
        <v>273.8</v>
      </c>
      <c r="P657" s="243">
        <v>280.7</v>
      </c>
      <c r="Z657" s="244">
        <f t="shared" si="31"/>
        <v>66.099999999999937</v>
      </c>
      <c r="AA657" s="376">
        <f t="shared" si="32"/>
        <v>2.1142774396745702E-5</v>
      </c>
    </row>
    <row r="658" spans="1:27">
      <c r="A658" s="244">
        <f t="shared" si="30"/>
        <v>66.199999999999932</v>
      </c>
      <c r="B658" s="241">
        <v>174.4</v>
      </c>
      <c r="C658" s="242">
        <v>187.4</v>
      </c>
      <c r="D658" s="243">
        <v>199.9</v>
      </c>
      <c r="E658" s="241">
        <v>187.7</v>
      </c>
      <c r="F658" s="242">
        <v>201.3</v>
      </c>
      <c r="G658" s="243">
        <v>213.8</v>
      </c>
      <c r="H658" s="241">
        <v>205.5</v>
      </c>
      <c r="I658" s="242">
        <v>219.7</v>
      </c>
      <c r="J658" s="243">
        <v>231.9</v>
      </c>
      <c r="K658" s="241">
        <v>231.4</v>
      </c>
      <c r="L658" s="242">
        <v>246.1</v>
      </c>
      <c r="M658" s="243">
        <v>256.7</v>
      </c>
      <c r="N658" s="241">
        <v>258</v>
      </c>
      <c r="O658" s="242">
        <v>272.5</v>
      </c>
      <c r="P658" s="243">
        <v>279.7</v>
      </c>
      <c r="Z658" s="244">
        <f t="shared" si="31"/>
        <v>66.199999999999932</v>
      </c>
      <c r="AA658" s="376">
        <f t="shared" si="32"/>
        <v>2.1055061695139443E-5</v>
      </c>
    </row>
    <row r="659" spans="1:27">
      <c r="A659" s="244">
        <f t="shared" si="30"/>
        <v>66.299999999999926</v>
      </c>
      <c r="B659" s="241">
        <v>170.9</v>
      </c>
      <c r="C659" s="242">
        <v>181.3</v>
      </c>
      <c r="D659" s="243">
        <v>197.7</v>
      </c>
      <c r="E659" s="241">
        <v>184.3</v>
      </c>
      <c r="F659" s="242">
        <v>195.3</v>
      </c>
      <c r="G659" s="243">
        <v>211.6</v>
      </c>
      <c r="H659" s="241">
        <v>202.3</v>
      </c>
      <c r="I659" s="242">
        <v>214.2</v>
      </c>
      <c r="J659" s="243">
        <v>229.8</v>
      </c>
      <c r="K659" s="241">
        <v>228.7</v>
      </c>
      <c r="L659" s="242">
        <v>241.8</v>
      </c>
      <c r="M659" s="243">
        <v>255</v>
      </c>
      <c r="N659" s="241">
        <v>257</v>
      </c>
      <c r="O659" s="242">
        <v>271.10000000000002</v>
      </c>
      <c r="P659" s="243">
        <v>279</v>
      </c>
      <c r="Z659" s="244">
        <f t="shared" si="31"/>
        <v>66.299999999999926</v>
      </c>
      <c r="AA659" s="376">
        <f t="shared" si="32"/>
        <v>2.0967844451431999E-5</v>
      </c>
    </row>
    <row r="660" spans="1:27">
      <c r="A660" s="244">
        <f t="shared" si="30"/>
        <v>66.39999999999992</v>
      </c>
      <c r="B660" s="241">
        <v>160.6</v>
      </c>
      <c r="C660" s="242">
        <v>172.9</v>
      </c>
      <c r="D660" s="243">
        <v>185.4</v>
      </c>
      <c r="E660" s="241">
        <v>174.1</v>
      </c>
      <c r="F660" s="242">
        <v>187.1</v>
      </c>
      <c r="G660" s="243">
        <v>199.7</v>
      </c>
      <c r="H660" s="241">
        <v>192.8</v>
      </c>
      <c r="I660" s="242">
        <v>206.5</v>
      </c>
      <c r="J660" s="243">
        <v>219.1</v>
      </c>
      <c r="K660" s="241">
        <v>221.3</v>
      </c>
      <c r="L660" s="242">
        <v>235.9</v>
      </c>
      <c r="M660" s="243">
        <v>247.3</v>
      </c>
      <c r="N660" s="241">
        <v>254.6</v>
      </c>
      <c r="O660" s="242">
        <v>269.10000000000002</v>
      </c>
      <c r="P660" s="243">
        <v>277</v>
      </c>
      <c r="Z660" s="244">
        <f t="shared" si="31"/>
        <v>66.39999999999992</v>
      </c>
      <c r="AA660" s="376">
        <f t="shared" si="32"/>
        <v>2.0881119125979797E-5</v>
      </c>
    </row>
    <row r="661" spans="1:27">
      <c r="A661" s="244">
        <f t="shared" si="30"/>
        <v>66.499999999999915</v>
      </c>
      <c r="B661" s="241">
        <v>153</v>
      </c>
      <c r="C661" s="242">
        <v>164.8</v>
      </c>
      <c r="D661" s="243">
        <v>176.5</v>
      </c>
      <c r="E661" s="241">
        <v>166.5</v>
      </c>
      <c r="F661" s="242">
        <v>179</v>
      </c>
      <c r="G661" s="243">
        <v>191</v>
      </c>
      <c r="H661" s="241">
        <v>185.4</v>
      </c>
      <c r="I661" s="242">
        <v>198.8</v>
      </c>
      <c r="J661" s="243">
        <v>210.9</v>
      </c>
      <c r="K661" s="241">
        <v>215.2</v>
      </c>
      <c r="L661" s="242">
        <v>229.6</v>
      </c>
      <c r="M661" s="243">
        <v>241</v>
      </c>
      <c r="N661" s="241">
        <v>252.1</v>
      </c>
      <c r="O661" s="242">
        <v>266.8</v>
      </c>
      <c r="P661" s="243">
        <v>274.89999999999998</v>
      </c>
      <c r="Z661" s="244">
        <f t="shared" si="31"/>
        <v>66.499999999999915</v>
      </c>
      <c r="AA661" s="376">
        <f t="shared" si="32"/>
        <v>2.0794882209704857E-5</v>
      </c>
    </row>
    <row r="662" spans="1:27">
      <c r="A662" s="244">
        <f t="shared" si="30"/>
        <v>66.599999999999909</v>
      </c>
      <c r="B662" s="241">
        <v>146.19999999999999</v>
      </c>
      <c r="C662" s="242">
        <v>157.6</v>
      </c>
      <c r="D662" s="243">
        <v>168.9</v>
      </c>
      <c r="E662" s="241">
        <v>159.69999999999999</v>
      </c>
      <c r="F662" s="242">
        <v>171.8</v>
      </c>
      <c r="G662" s="243">
        <v>183.5</v>
      </c>
      <c r="H662" s="241">
        <v>178.7</v>
      </c>
      <c r="I662" s="242">
        <v>191.7</v>
      </c>
      <c r="J662" s="243">
        <v>203.7</v>
      </c>
      <c r="K662" s="241">
        <v>209.4</v>
      </c>
      <c r="L662" s="242">
        <v>223.6</v>
      </c>
      <c r="M662" s="243">
        <v>235.2</v>
      </c>
      <c r="N662" s="241">
        <v>249.6</v>
      </c>
      <c r="O662" s="242">
        <v>264.3</v>
      </c>
      <c r="P662" s="243">
        <v>272.8</v>
      </c>
      <c r="Z662" s="244">
        <f t="shared" si="31"/>
        <v>66.599999999999909</v>
      </c>
      <c r="AA662" s="376">
        <f t="shared" si="32"/>
        <v>2.0709130223785529E-5</v>
      </c>
    </row>
    <row r="663" spans="1:27">
      <c r="A663" s="244">
        <f t="shared" si="30"/>
        <v>66.699999999999903</v>
      </c>
      <c r="B663" s="241">
        <v>140.30000000000001</v>
      </c>
      <c r="C663" s="242">
        <v>151.30000000000001</v>
      </c>
      <c r="D663" s="243">
        <v>162.6</v>
      </c>
      <c r="E663" s="241">
        <v>153.6</v>
      </c>
      <c r="F663" s="242">
        <v>165.3</v>
      </c>
      <c r="G663" s="243">
        <v>177.1</v>
      </c>
      <c r="H663" s="241">
        <v>172.6</v>
      </c>
      <c r="I663" s="242">
        <v>185.4</v>
      </c>
      <c r="J663" s="243">
        <v>197.5</v>
      </c>
      <c r="K663" s="241">
        <v>204</v>
      </c>
      <c r="L663" s="242">
        <v>218</v>
      </c>
      <c r="M663" s="243">
        <v>229.9</v>
      </c>
      <c r="N663" s="241">
        <v>247</v>
      </c>
      <c r="O663" s="242">
        <v>261.60000000000002</v>
      </c>
      <c r="P663" s="243">
        <v>270.60000000000002</v>
      </c>
      <c r="Z663" s="244">
        <f t="shared" si="31"/>
        <v>66.699999999999903</v>
      </c>
      <c r="AA663" s="376">
        <f t="shared" si="32"/>
        <v>2.0623859719350623E-5</v>
      </c>
    </row>
    <row r="664" spans="1:27">
      <c r="A664" s="244">
        <f t="shared" si="30"/>
        <v>66.799999999999898</v>
      </c>
      <c r="B664" s="241">
        <v>135.4</v>
      </c>
      <c r="C664" s="242">
        <v>145.69999999999999</v>
      </c>
      <c r="D664" s="243">
        <v>157.9</v>
      </c>
      <c r="E664" s="241">
        <v>148.5</v>
      </c>
      <c r="F664" s="242">
        <v>159.6</v>
      </c>
      <c r="G664" s="243">
        <v>172.3</v>
      </c>
      <c r="H664" s="241">
        <v>167.5</v>
      </c>
      <c r="I664" s="242">
        <v>179.6</v>
      </c>
      <c r="J664" s="243">
        <v>192.8</v>
      </c>
      <c r="K664" s="241">
        <v>199.2</v>
      </c>
      <c r="L664" s="242">
        <v>212.7</v>
      </c>
      <c r="M664" s="243">
        <v>225.7</v>
      </c>
      <c r="N664" s="241">
        <v>244.4</v>
      </c>
      <c r="O664" s="242">
        <v>259</v>
      </c>
      <c r="P664" s="243">
        <v>268.60000000000002</v>
      </c>
      <c r="Z664" s="244">
        <f t="shared" si="31"/>
        <v>66.799999999999898</v>
      </c>
      <c r="AA664" s="376">
        <f t="shared" si="32"/>
        <v>2.0539067277177188E-5</v>
      </c>
    </row>
    <row r="665" spans="1:27">
      <c r="A665" s="244">
        <f t="shared" si="30"/>
        <v>66.899999999999892</v>
      </c>
      <c r="B665" s="241">
        <v>129.30000000000001</v>
      </c>
      <c r="C665" s="242">
        <v>139.4</v>
      </c>
      <c r="D665" s="243">
        <v>150.80000000000001</v>
      </c>
      <c r="E665" s="241">
        <v>142.30000000000001</v>
      </c>
      <c r="F665" s="242">
        <v>153.1</v>
      </c>
      <c r="G665" s="243">
        <v>165.1</v>
      </c>
      <c r="H665" s="241">
        <v>161.1</v>
      </c>
      <c r="I665" s="242">
        <v>173</v>
      </c>
      <c r="J665" s="243">
        <v>185.6</v>
      </c>
      <c r="K665" s="241">
        <v>193.2</v>
      </c>
      <c r="L665" s="242">
        <v>206.6</v>
      </c>
      <c r="M665" s="243">
        <v>219.3</v>
      </c>
      <c r="N665" s="241">
        <v>241.1</v>
      </c>
      <c r="O665" s="242">
        <v>255.7</v>
      </c>
      <c r="P665" s="243">
        <v>265.60000000000002</v>
      </c>
      <c r="Z665" s="244">
        <f t="shared" si="31"/>
        <v>66.899999999999892</v>
      </c>
      <c r="AA665" s="376">
        <f t="shared" si="32"/>
        <v>2.0454749507391763E-5</v>
      </c>
    </row>
    <row r="666" spans="1:27">
      <c r="A666" s="244">
        <f t="shared" si="30"/>
        <v>66.999999999999886</v>
      </c>
      <c r="B666" s="241">
        <v>123.3</v>
      </c>
      <c r="C666" s="242">
        <v>132.9</v>
      </c>
      <c r="D666" s="243">
        <v>143.4</v>
      </c>
      <c r="E666" s="241">
        <v>136</v>
      </c>
      <c r="F666" s="242">
        <v>146.4</v>
      </c>
      <c r="G666" s="243">
        <v>157.5</v>
      </c>
      <c r="H666" s="241">
        <v>154.6</v>
      </c>
      <c r="I666" s="242">
        <v>166.1</v>
      </c>
      <c r="J666" s="243">
        <v>177.9</v>
      </c>
      <c r="K666" s="241">
        <v>187</v>
      </c>
      <c r="L666" s="242">
        <v>200.1</v>
      </c>
      <c r="M666" s="243">
        <v>212.3</v>
      </c>
      <c r="N666" s="241">
        <v>237.5</v>
      </c>
      <c r="O666" s="242">
        <v>252</v>
      </c>
      <c r="P666" s="243">
        <v>262</v>
      </c>
      <c r="Z666" s="244">
        <f t="shared" si="31"/>
        <v>66.999999999999886</v>
      </c>
      <c r="AA666" s="376">
        <f t="shared" si="32"/>
        <v>2.0370903049175084E-5</v>
      </c>
    </row>
    <row r="667" spans="1:27">
      <c r="A667" s="244">
        <f t="shared" si="30"/>
        <v>67.099999999999881</v>
      </c>
      <c r="B667" s="241">
        <v>118</v>
      </c>
      <c r="C667" s="242">
        <v>127.1</v>
      </c>
      <c r="D667" s="243">
        <v>137.19999999999999</v>
      </c>
      <c r="E667" s="241">
        <v>130.4</v>
      </c>
      <c r="F667" s="242">
        <v>140.4</v>
      </c>
      <c r="G667" s="243">
        <v>151.1</v>
      </c>
      <c r="H667" s="241">
        <v>148.80000000000001</v>
      </c>
      <c r="I667" s="242">
        <v>159.9</v>
      </c>
      <c r="J667" s="243">
        <v>171.4</v>
      </c>
      <c r="K667" s="241">
        <v>181.3</v>
      </c>
      <c r="L667" s="242">
        <v>194</v>
      </c>
      <c r="M667" s="243">
        <v>206.1</v>
      </c>
      <c r="N667" s="241">
        <v>233.8</v>
      </c>
      <c r="O667" s="242">
        <v>248.2</v>
      </c>
      <c r="P667" s="243">
        <v>258.60000000000002</v>
      </c>
      <c r="Z667" s="244">
        <f t="shared" si="31"/>
        <v>67.099999999999881</v>
      </c>
      <c r="AA667" s="376">
        <f t="shared" si="32"/>
        <v>2.0287524570470175E-5</v>
      </c>
    </row>
    <row r="668" spans="1:27">
      <c r="A668" s="244">
        <f t="shared" si="30"/>
        <v>67.199999999999875</v>
      </c>
      <c r="B668" s="241">
        <v>113.3</v>
      </c>
      <c r="C668" s="242">
        <v>122</v>
      </c>
      <c r="D668" s="243">
        <v>131.9</v>
      </c>
      <c r="E668" s="241">
        <v>125.5</v>
      </c>
      <c r="F668" s="242">
        <v>135</v>
      </c>
      <c r="G668" s="243">
        <v>145.5</v>
      </c>
      <c r="H668" s="241">
        <v>143.6</v>
      </c>
      <c r="I668" s="242">
        <v>154.30000000000001</v>
      </c>
      <c r="J668" s="243">
        <v>165.6</v>
      </c>
      <c r="K668" s="241">
        <v>176</v>
      </c>
      <c r="L668" s="242">
        <v>188.4</v>
      </c>
      <c r="M668" s="243">
        <v>200.5</v>
      </c>
      <c r="N668" s="241">
        <v>230.2</v>
      </c>
      <c r="O668" s="242">
        <v>244.5</v>
      </c>
      <c r="P668" s="243">
        <v>255.2</v>
      </c>
      <c r="Z668" s="244">
        <f t="shared" si="31"/>
        <v>67.199999999999875</v>
      </c>
      <c r="AA668" s="376">
        <f t="shared" si="32"/>
        <v>2.0204610767693838E-5</v>
      </c>
    </row>
    <row r="669" spans="1:27">
      <c r="A669" s="244">
        <f t="shared" si="30"/>
        <v>67.299999999999869</v>
      </c>
      <c r="B669" s="241">
        <v>109.1</v>
      </c>
      <c r="C669" s="242">
        <v>117.5</v>
      </c>
      <c r="D669" s="243">
        <v>127.4</v>
      </c>
      <c r="E669" s="241">
        <v>121</v>
      </c>
      <c r="F669" s="242">
        <v>130.19999999999999</v>
      </c>
      <c r="G669" s="243">
        <v>140.80000000000001</v>
      </c>
      <c r="H669" s="241">
        <v>138.9</v>
      </c>
      <c r="I669" s="242">
        <v>149.19999999999999</v>
      </c>
      <c r="J669" s="243">
        <v>160.6</v>
      </c>
      <c r="K669" s="241">
        <v>171.1</v>
      </c>
      <c r="L669" s="242">
        <v>183.2</v>
      </c>
      <c r="M669" s="243">
        <v>195.6</v>
      </c>
      <c r="N669" s="241">
        <v>226.7</v>
      </c>
      <c r="O669" s="242">
        <v>240.9</v>
      </c>
      <c r="P669" s="243">
        <v>252</v>
      </c>
      <c r="Z669" s="244">
        <f t="shared" si="31"/>
        <v>67.299999999999869</v>
      </c>
      <c r="AA669" s="376">
        <f t="shared" si="32"/>
        <v>2.012215836545141E-5</v>
      </c>
    </row>
    <row r="670" spans="1:27">
      <c r="A670" s="244">
        <f t="shared" si="30"/>
        <v>67.399999999999864</v>
      </c>
      <c r="B670" s="241">
        <v>105.1</v>
      </c>
      <c r="C670" s="242">
        <v>113</v>
      </c>
      <c r="D670" s="243">
        <v>123.1</v>
      </c>
      <c r="E670" s="241">
        <v>116.8</v>
      </c>
      <c r="F670" s="242">
        <v>125.5</v>
      </c>
      <c r="G670" s="243">
        <v>136.19999999999999</v>
      </c>
      <c r="H670" s="241">
        <v>134.30000000000001</v>
      </c>
      <c r="I670" s="242">
        <v>144.1</v>
      </c>
      <c r="J670" s="243">
        <v>155.9</v>
      </c>
      <c r="K670" s="241">
        <v>166.4</v>
      </c>
      <c r="L670" s="242">
        <v>178</v>
      </c>
      <c r="M670" s="243">
        <v>190.8</v>
      </c>
      <c r="N670" s="241">
        <v>223.1</v>
      </c>
      <c r="O670" s="242">
        <v>237.1</v>
      </c>
      <c r="P670" s="243">
        <v>248.7</v>
      </c>
      <c r="Z670" s="244">
        <f t="shared" si="31"/>
        <v>67.399999999999864</v>
      </c>
      <c r="AA670" s="376">
        <f t="shared" si="32"/>
        <v>2.0040164116254862E-5</v>
      </c>
    </row>
    <row r="671" spans="1:27">
      <c r="A671" s="244">
        <f t="shared" si="30"/>
        <v>67.499999999999858</v>
      </c>
      <c r="B671" s="241">
        <v>100.8</v>
      </c>
      <c r="C671" s="242">
        <v>108.4</v>
      </c>
      <c r="D671" s="243">
        <v>117.6</v>
      </c>
      <c r="E671" s="241">
        <v>112.1</v>
      </c>
      <c r="F671" s="242">
        <v>120.6</v>
      </c>
      <c r="G671" s="243">
        <v>130.5</v>
      </c>
      <c r="H671" s="241">
        <v>129.4</v>
      </c>
      <c r="I671" s="242">
        <v>138.9</v>
      </c>
      <c r="J671" s="243">
        <v>149.80000000000001</v>
      </c>
      <c r="K671" s="241">
        <v>161.1</v>
      </c>
      <c r="L671" s="242">
        <v>172.5</v>
      </c>
      <c r="M671" s="243">
        <v>184.6</v>
      </c>
      <c r="N671" s="241">
        <v>219</v>
      </c>
      <c r="O671" s="242">
        <v>232.9</v>
      </c>
      <c r="P671" s="243">
        <v>244.4</v>
      </c>
      <c r="Z671" s="244">
        <f t="shared" si="31"/>
        <v>67.499999999999858</v>
      </c>
      <c r="AA671" s="376">
        <f t="shared" si="32"/>
        <v>1.9958624800244075E-5</v>
      </c>
    </row>
    <row r="672" spans="1:27">
      <c r="A672" s="244">
        <f t="shared" si="30"/>
        <v>67.599999999999852</v>
      </c>
      <c r="B672" s="241">
        <v>97</v>
      </c>
      <c r="C672" s="242">
        <v>104.3</v>
      </c>
      <c r="D672" s="243">
        <v>113.1</v>
      </c>
      <c r="E672" s="241">
        <v>108</v>
      </c>
      <c r="F672" s="242">
        <v>116.1</v>
      </c>
      <c r="G672" s="243">
        <v>125.7</v>
      </c>
      <c r="H672" s="241">
        <v>124.9</v>
      </c>
      <c r="I672" s="242">
        <v>134.1</v>
      </c>
      <c r="J672" s="243">
        <v>144.6</v>
      </c>
      <c r="K672" s="241">
        <v>156.30000000000001</v>
      </c>
      <c r="L672" s="242">
        <v>167.4</v>
      </c>
      <c r="M672" s="243">
        <v>179.2</v>
      </c>
      <c r="N672" s="241">
        <v>215</v>
      </c>
      <c r="O672" s="242">
        <v>228.8</v>
      </c>
      <c r="P672" s="243">
        <v>240.4</v>
      </c>
      <c r="Z672" s="244">
        <f t="shared" si="31"/>
        <v>67.599999999999852</v>
      </c>
      <c r="AA672" s="376">
        <f t="shared" si="32"/>
        <v>1.9877537224911329E-5</v>
      </c>
    </row>
    <row r="673" spans="1:27">
      <c r="A673" s="244">
        <f t="shared" si="30"/>
        <v>67.699999999999847</v>
      </c>
      <c r="B673" s="241">
        <v>93.5</v>
      </c>
      <c r="C673" s="242">
        <v>100.5</v>
      </c>
      <c r="D673" s="243">
        <v>109.2</v>
      </c>
      <c r="E673" s="241">
        <v>104.3</v>
      </c>
      <c r="F673" s="242">
        <v>112</v>
      </c>
      <c r="G673" s="243">
        <v>121.4</v>
      </c>
      <c r="H673" s="241">
        <v>120.8</v>
      </c>
      <c r="I673" s="242">
        <v>129.69999999999999</v>
      </c>
      <c r="J673" s="243">
        <v>140.1</v>
      </c>
      <c r="K673" s="241">
        <v>151.9</v>
      </c>
      <c r="L673" s="242">
        <v>162.6</v>
      </c>
      <c r="M673" s="243">
        <v>174.4</v>
      </c>
      <c r="N673" s="241">
        <v>211.2</v>
      </c>
      <c r="O673" s="242">
        <v>224.8</v>
      </c>
      <c r="P673" s="243">
        <v>236.6</v>
      </c>
      <c r="Z673" s="244">
        <f t="shared" si="31"/>
        <v>67.699999999999847</v>
      </c>
      <c r="AA673" s="376">
        <f t="shared" si="32"/>
        <v>1.9796898224828942E-5</v>
      </c>
    </row>
    <row r="674" spans="1:27">
      <c r="A674" s="244">
        <f t="shared" si="30"/>
        <v>67.799999999999841</v>
      </c>
      <c r="B674" s="241">
        <v>90.3</v>
      </c>
      <c r="C674" s="242">
        <v>97.1</v>
      </c>
      <c r="D674" s="243">
        <v>105.6</v>
      </c>
      <c r="E674" s="241">
        <v>100.9</v>
      </c>
      <c r="F674" s="242">
        <v>108.4</v>
      </c>
      <c r="G674" s="243">
        <v>117.7</v>
      </c>
      <c r="H674" s="241">
        <v>117.1</v>
      </c>
      <c r="I674" s="242">
        <v>125.6</v>
      </c>
      <c r="J674" s="243">
        <v>136</v>
      </c>
      <c r="K674" s="241">
        <v>147.80000000000001</v>
      </c>
      <c r="L674" s="242">
        <v>158.19999999999999</v>
      </c>
      <c r="M674" s="243">
        <v>170</v>
      </c>
      <c r="N674" s="241">
        <v>207.6</v>
      </c>
      <c r="O674" s="242">
        <v>221</v>
      </c>
      <c r="P674" s="243">
        <v>233.1</v>
      </c>
      <c r="Z674" s="244">
        <f t="shared" si="31"/>
        <v>67.799999999999841</v>
      </c>
      <c r="AA674" s="376">
        <f t="shared" si="32"/>
        <v>1.971670466138001E-5</v>
      </c>
    </row>
    <row r="675" spans="1:27">
      <c r="A675" s="244">
        <f t="shared" si="30"/>
        <v>67.899999999999835</v>
      </c>
      <c r="B675" s="241">
        <v>87.5</v>
      </c>
      <c r="C675" s="242">
        <v>93.9</v>
      </c>
      <c r="D675" s="243">
        <v>102.8</v>
      </c>
      <c r="E675" s="241">
        <v>97.9</v>
      </c>
      <c r="F675" s="242">
        <v>104.9</v>
      </c>
      <c r="G675" s="243">
        <v>114.6</v>
      </c>
      <c r="H675" s="241">
        <v>113.8</v>
      </c>
      <c r="I675" s="242">
        <v>121.9</v>
      </c>
      <c r="J675" s="243">
        <v>132.6</v>
      </c>
      <c r="K675" s="241">
        <v>144.1</v>
      </c>
      <c r="L675" s="242">
        <v>154.1</v>
      </c>
      <c r="M675" s="243">
        <v>166.3</v>
      </c>
      <c r="N675" s="241">
        <v>204.2</v>
      </c>
      <c r="O675" s="242">
        <v>217.2</v>
      </c>
      <c r="P675" s="243">
        <v>230</v>
      </c>
      <c r="Z675" s="244">
        <f t="shared" si="31"/>
        <v>67.899999999999835</v>
      </c>
      <c r="AA675" s="376">
        <f t="shared" si="32"/>
        <v>1.9636953422492228E-5</v>
      </c>
    </row>
    <row r="676" spans="1:27">
      <c r="A676" s="244">
        <f t="shared" si="30"/>
        <v>67.999999999999829</v>
      </c>
      <c r="B676" s="241">
        <v>84.5</v>
      </c>
      <c r="C676" s="242">
        <v>90.8</v>
      </c>
      <c r="D676" s="243">
        <v>99</v>
      </c>
      <c r="E676" s="241">
        <v>94.5</v>
      </c>
      <c r="F676" s="242">
        <v>101.5</v>
      </c>
      <c r="G676" s="243">
        <v>110.5</v>
      </c>
      <c r="H676" s="241">
        <v>110.1</v>
      </c>
      <c r="I676" s="242">
        <v>118.1</v>
      </c>
      <c r="J676" s="243">
        <v>128.19999999999999</v>
      </c>
      <c r="K676" s="241">
        <v>139.9</v>
      </c>
      <c r="L676" s="242">
        <v>149.80000000000001</v>
      </c>
      <c r="M676" s="243">
        <v>161.5</v>
      </c>
      <c r="N676" s="241">
        <v>200.3</v>
      </c>
      <c r="O676" s="242">
        <v>213.3</v>
      </c>
      <c r="P676" s="243">
        <v>225.8</v>
      </c>
      <c r="Z676" s="244">
        <f t="shared" si="31"/>
        <v>67.999999999999829</v>
      </c>
      <c r="AA676" s="376">
        <f t="shared" si="32"/>
        <v>1.9557641422374734E-5</v>
      </c>
    </row>
    <row r="677" spans="1:27">
      <c r="A677" s="244">
        <f t="shared" si="30"/>
        <v>68.099999999999824</v>
      </c>
      <c r="B677" s="241">
        <v>81.7</v>
      </c>
      <c r="C677" s="242">
        <v>87.8</v>
      </c>
      <c r="D677" s="243">
        <v>95.8</v>
      </c>
      <c r="E677" s="241">
        <v>91.5</v>
      </c>
      <c r="F677" s="242">
        <v>98.3</v>
      </c>
      <c r="G677" s="243">
        <v>107.1</v>
      </c>
      <c r="H677" s="241">
        <v>106.7</v>
      </c>
      <c r="I677" s="242">
        <v>114.5</v>
      </c>
      <c r="J677" s="243">
        <v>124.4</v>
      </c>
      <c r="K677" s="241">
        <v>136.1</v>
      </c>
      <c r="L677" s="242">
        <v>145.80000000000001</v>
      </c>
      <c r="M677" s="243">
        <v>157.30000000000001</v>
      </c>
      <c r="N677" s="241">
        <v>196.6</v>
      </c>
      <c r="O677" s="242">
        <v>209.5</v>
      </c>
      <c r="P677" s="243">
        <v>222.1</v>
      </c>
      <c r="Z677" s="244">
        <f t="shared" si="31"/>
        <v>68.099999999999824</v>
      </c>
      <c r="AA677" s="376">
        <f t="shared" si="32"/>
        <v>1.9478765601257947E-5</v>
      </c>
    </row>
    <row r="678" spans="1:27">
      <c r="A678" s="244">
        <f t="shared" si="30"/>
        <v>68.199999999999818</v>
      </c>
      <c r="B678" s="241">
        <v>79.2</v>
      </c>
      <c r="C678" s="242">
        <v>85.1</v>
      </c>
      <c r="D678" s="243">
        <v>92.9</v>
      </c>
      <c r="E678" s="241">
        <v>88.8</v>
      </c>
      <c r="F678" s="242">
        <v>95.3</v>
      </c>
      <c r="G678" s="243">
        <v>103.9</v>
      </c>
      <c r="H678" s="241">
        <v>103.7</v>
      </c>
      <c r="I678" s="242">
        <v>111.2</v>
      </c>
      <c r="J678" s="243">
        <v>121</v>
      </c>
      <c r="K678" s="241">
        <v>132.6</v>
      </c>
      <c r="L678" s="242">
        <v>142.1</v>
      </c>
      <c r="M678" s="243">
        <v>153.5</v>
      </c>
      <c r="N678" s="241">
        <v>193.1</v>
      </c>
      <c r="O678" s="242">
        <v>205.8</v>
      </c>
      <c r="P678" s="243">
        <v>218.6</v>
      </c>
      <c r="Z678" s="244">
        <f t="shared" si="31"/>
        <v>68.199999999999818</v>
      </c>
      <c r="AA678" s="376">
        <f t="shared" si="32"/>
        <v>1.9400322925136366E-5</v>
      </c>
    </row>
    <row r="679" spans="1:27">
      <c r="A679" s="244">
        <f t="shared" si="30"/>
        <v>68.299999999999812</v>
      </c>
      <c r="B679" s="241">
        <v>76.900000000000006</v>
      </c>
      <c r="C679" s="242">
        <v>82.6</v>
      </c>
      <c r="D679" s="243">
        <v>90.3</v>
      </c>
      <c r="E679" s="241">
        <v>86.2</v>
      </c>
      <c r="F679" s="242">
        <v>92.6</v>
      </c>
      <c r="G679" s="243">
        <v>101.1</v>
      </c>
      <c r="H679" s="241">
        <v>100.8</v>
      </c>
      <c r="I679" s="242">
        <v>108.2</v>
      </c>
      <c r="J679" s="243">
        <v>117.8</v>
      </c>
      <c r="K679" s="241">
        <v>129.30000000000001</v>
      </c>
      <c r="L679" s="242">
        <v>138.6</v>
      </c>
      <c r="M679" s="243">
        <v>150</v>
      </c>
      <c r="N679" s="241">
        <v>189.7</v>
      </c>
      <c r="O679" s="242">
        <v>202.3</v>
      </c>
      <c r="P679" s="243">
        <v>215.2</v>
      </c>
      <c r="Z679" s="244">
        <f t="shared" si="31"/>
        <v>68.299999999999812</v>
      </c>
      <c r="AA679" s="376">
        <f t="shared" si="32"/>
        <v>1.9322310385514239E-5</v>
      </c>
    </row>
    <row r="680" spans="1:27">
      <c r="A680" s="244">
        <f t="shared" si="30"/>
        <v>68.399999999999807</v>
      </c>
      <c r="B680" s="241">
        <v>74.7</v>
      </c>
      <c r="C680" s="242">
        <v>80.3</v>
      </c>
      <c r="D680" s="243">
        <v>88</v>
      </c>
      <c r="E680" s="241">
        <v>83.8</v>
      </c>
      <c r="F680" s="242">
        <v>90</v>
      </c>
      <c r="G680" s="243">
        <v>98.6</v>
      </c>
      <c r="H680" s="241">
        <v>98.1</v>
      </c>
      <c r="I680" s="242">
        <v>105.3</v>
      </c>
      <c r="J680" s="243">
        <v>115</v>
      </c>
      <c r="K680" s="241">
        <v>126.2</v>
      </c>
      <c r="L680" s="242">
        <v>135.30000000000001</v>
      </c>
      <c r="M680" s="243">
        <v>146.69999999999999</v>
      </c>
      <c r="N680" s="241">
        <v>186.5</v>
      </c>
      <c r="O680" s="242">
        <v>199</v>
      </c>
      <c r="P680" s="243">
        <v>212.1</v>
      </c>
      <c r="Z680" s="244">
        <f t="shared" si="31"/>
        <v>68.399999999999807</v>
      </c>
      <c r="AA680" s="376">
        <f t="shared" si="32"/>
        <v>1.9244724999154181E-5</v>
      </c>
    </row>
    <row r="681" spans="1:27">
      <c r="A681" s="244">
        <f t="shared" si="30"/>
        <v>68.499999999999801</v>
      </c>
      <c r="B681" s="241">
        <v>72.599999999999994</v>
      </c>
      <c r="C681" s="242">
        <v>78</v>
      </c>
      <c r="D681" s="243">
        <v>85.6</v>
      </c>
      <c r="E681" s="241">
        <v>81.5</v>
      </c>
      <c r="F681" s="242">
        <v>87.6</v>
      </c>
      <c r="G681" s="243">
        <v>96</v>
      </c>
      <c r="H681" s="241">
        <v>95.5</v>
      </c>
      <c r="I681" s="242">
        <v>102.6</v>
      </c>
      <c r="J681" s="243">
        <v>112.1</v>
      </c>
      <c r="K681" s="241">
        <v>123.1</v>
      </c>
      <c r="L681" s="242">
        <v>132.1</v>
      </c>
      <c r="M681" s="243">
        <v>143.4</v>
      </c>
      <c r="N681" s="241">
        <v>183.2</v>
      </c>
      <c r="O681" s="242">
        <v>195.6</v>
      </c>
      <c r="P681" s="243">
        <v>208.8</v>
      </c>
      <c r="Z681" s="244">
        <f t="shared" si="31"/>
        <v>68.499999999999801</v>
      </c>
      <c r="AA681" s="376">
        <f t="shared" si="32"/>
        <v>1.9167563807828574E-5</v>
      </c>
    </row>
    <row r="682" spans="1:27">
      <c r="A682" s="244">
        <f t="shared" si="30"/>
        <v>68.599999999999795</v>
      </c>
      <c r="B682" s="241">
        <v>70.599999999999994</v>
      </c>
      <c r="C682" s="242">
        <v>75.900000000000006</v>
      </c>
      <c r="D682" s="243">
        <v>83.4</v>
      </c>
      <c r="E682" s="241">
        <v>79.3</v>
      </c>
      <c r="F682" s="242">
        <v>85.3</v>
      </c>
      <c r="G682" s="243">
        <v>93.5</v>
      </c>
      <c r="H682" s="241">
        <v>93</v>
      </c>
      <c r="I682" s="242">
        <v>100</v>
      </c>
      <c r="J682" s="243">
        <v>109.4</v>
      </c>
      <c r="K682" s="241">
        <v>120.2</v>
      </c>
      <c r="L682" s="242">
        <v>129</v>
      </c>
      <c r="M682" s="243">
        <v>140.30000000000001</v>
      </c>
      <c r="N682" s="241">
        <v>180.1</v>
      </c>
      <c r="O682" s="242">
        <v>192.3</v>
      </c>
      <c r="P682" s="243">
        <v>205.6</v>
      </c>
      <c r="Z682" s="244">
        <f t="shared" si="31"/>
        <v>68.599999999999795</v>
      </c>
      <c r="AA682" s="376">
        <f t="shared" si="32"/>
        <v>1.9090823878073798E-5</v>
      </c>
    </row>
    <row r="683" spans="1:27">
      <c r="A683" s="244">
        <f t="shared" si="30"/>
        <v>68.69999999999979</v>
      </c>
      <c r="B683" s="241">
        <v>68.7</v>
      </c>
      <c r="C683" s="242">
        <v>73.900000000000006</v>
      </c>
      <c r="D683" s="243">
        <v>81.3</v>
      </c>
      <c r="E683" s="241">
        <v>77.2</v>
      </c>
      <c r="F683" s="242">
        <v>83.1</v>
      </c>
      <c r="G683" s="243">
        <v>91.2</v>
      </c>
      <c r="H683" s="241">
        <v>90.7</v>
      </c>
      <c r="I683" s="242">
        <v>97.5</v>
      </c>
      <c r="J683" s="243">
        <v>106.8</v>
      </c>
      <c r="K683" s="241">
        <v>117.4</v>
      </c>
      <c r="L683" s="242">
        <v>126.1</v>
      </c>
      <c r="M683" s="243">
        <v>137.30000000000001</v>
      </c>
      <c r="N683" s="241">
        <v>177</v>
      </c>
      <c r="O683" s="242">
        <v>189.1</v>
      </c>
      <c r="P683" s="243">
        <v>202.6</v>
      </c>
      <c r="Z683" s="244">
        <f t="shared" si="31"/>
        <v>68.69999999999979</v>
      </c>
      <c r="AA683" s="376">
        <f t="shared" si="32"/>
        <v>1.901450230094724E-5</v>
      </c>
    </row>
    <row r="684" spans="1:27">
      <c r="A684" s="244">
        <f t="shared" si="30"/>
        <v>68.799999999999784</v>
      </c>
      <c r="B684" s="241">
        <v>66.900000000000006</v>
      </c>
      <c r="C684" s="242">
        <v>72</v>
      </c>
      <c r="D684" s="243">
        <v>79.400000000000006</v>
      </c>
      <c r="E684" s="241">
        <v>75.3</v>
      </c>
      <c r="F684" s="242">
        <v>81</v>
      </c>
      <c r="G684" s="243">
        <v>89.1</v>
      </c>
      <c r="H684" s="241">
        <v>88.4</v>
      </c>
      <c r="I684" s="242">
        <v>95.2</v>
      </c>
      <c r="J684" s="243">
        <v>104.4</v>
      </c>
      <c r="K684" s="241">
        <v>114.8</v>
      </c>
      <c r="L684" s="242">
        <v>123.3</v>
      </c>
      <c r="M684" s="243">
        <v>134.6</v>
      </c>
      <c r="N684" s="241">
        <v>174</v>
      </c>
      <c r="O684" s="242">
        <v>186.1</v>
      </c>
      <c r="P684" s="243">
        <v>199.7</v>
      </c>
      <c r="Z684" s="244">
        <f t="shared" si="31"/>
        <v>68.799999999999784</v>
      </c>
      <c r="AA684" s="376">
        <f t="shared" si="32"/>
        <v>1.893859619178702E-5</v>
      </c>
    </row>
    <row r="685" spans="1:27">
      <c r="A685" s="244">
        <f t="shared" si="30"/>
        <v>68.899999999999778</v>
      </c>
      <c r="B685" s="241">
        <v>65.2</v>
      </c>
      <c r="C685" s="242">
        <v>70.3</v>
      </c>
      <c r="D685" s="243">
        <v>77.599999999999994</v>
      </c>
      <c r="E685" s="241">
        <v>73.400000000000006</v>
      </c>
      <c r="F685" s="242">
        <v>79.099999999999994</v>
      </c>
      <c r="G685" s="243">
        <v>87.2</v>
      </c>
      <c r="H685" s="241">
        <v>86.3</v>
      </c>
      <c r="I685" s="242">
        <v>93</v>
      </c>
      <c r="J685" s="243">
        <v>102.2</v>
      </c>
      <c r="K685" s="241">
        <v>112.3</v>
      </c>
      <c r="L685" s="242">
        <v>120.7</v>
      </c>
      <c r="M685" s="243">
        <v>132</v>
      </c>
      <c r="N685" s="241">
        <v>171.1</v>
      </c>
      <c r="O685" s="242">
        <v>183.2</v>
      </c>
      <c r="P685" s="243">
        <v>196.9</v>
      </c>
      <c r="Z685" s="244">
        <f t="shared" si="31"/>
        <v>68.899999999999778</v>
      </c>
      <c r="AA685" s="376">
        <f t="shared" si="32"/>
        <v>1.8863102689974385E-5</v>
      </c>
    </row>
    <row r="686" spans="1:27">
      <c r="A686" s="244">
        <f t="shared" si="30"/>
        <v>68.999999999999773</v>
      </c>
      <c r="B686" s="241">
        <v>63.6</v>
      </c>
      <c r="C686" s="242">
        <v>68.599999999999994</v>
      </c>
      <c r="D686" s="243">
        <v>75.900000000000006</v>
      </c>
      <c r="E686" s="241">
        <v>71.599999999999994</v>
      </c>
      <c r="F686" s="242">
        <v>77.2</v>
      </c>
      <c r="G686" s="243">
        <v>85.3</v>
      </c>
      <c r="H686" s="241">
        <v>84.3</v>
      </c>
      <c r="I686" s="242">
        <v>90.9</v>
      </c>
      <c r="J686" s="243">
        <v>100.1</v>
      </c>
      <c r="K686" s="241">
        <v>109.8</v>
      </c>
      <c r="L686" s="242">
        <v>118.2</v>
      </c>
      <c r="M686" s="243">
        <v>129.5</v>
      </c>
      <c r="N686" s="241">
        <v>168.3</v>
      </c>
      <c r="O686" s="242">
        <v>180.3</v>
      </c>
      <c r="P686" s="243">
        <v>194.2</v>
      </c>
      <c r="Z686" s="244">
        <f t="shared" si="31"/>
        <v>68.999999999999773</v>
      </c>
      <c r="AA686" s="376">
        <f t="shared" si="32"/>
        <v>1.8788018958698859E-5</v>
      </c>
    </row>
    <row r="687" spans="1:27">
      <c r="A687" s="244">
        <f t="shared" si="30"/>
        <v>69.099999999999767</v>
      </c>
      <c r="B687" s="241">
        <v>62.1</v>
      </c>
      <c r="C687" s="242">
        <v>67</v>
      </c>
      <c r="D687" s="243">
        <v>74.2</v>
      </c>
      <c r="E687" s="241">
        <v>69.900000000000006</v>
      </c>
      <c r="F687" s="242">
        <v>75.5</v>
      </c>
      <c r="G687" s="243">
        <v>83.5</v>
      </c>
      <c r="H687" s="241">
        <v>82.4</v>
      </c>
      <c r="I687" s="242">
        <v>88.9</v>
      </c>
      <c r="J687" s="243">
        <v>98</v>
      </c>
      <c r="K687" s="241">
        <v>107.5</v>
      </c>
      <c r="L687" s="242">
        <v>115.8</v>
      </c>
      <c r="M687" s="243">
        <v>127</v>
      </c>
      <c r="N687" s="241">
        <v>165.6</v>
      </c>
      <c r="O687" s="242">
        <v>177.5</v>
      </c>
      <c r="P687" s="243">
        <v>191.5</v>
      </c>
      <c r="Z687" s="244">
        <f t="shared" si="31"/>
        <v>69.099999999999767</v>
      </c>
      <c r="AA687" s="376">
        <f t="shared" si="32"/>
        <v>1.871334218472591E-5</v>
      </c>
    </row>
    <row r="688" spans="1:27">
      <c r="A688" s="244">
        <f t="shared" si="30"/>
        <v>69.199999999999761</v>
      </c>
      <c r="B688" s="241">
        <v>60.6</v>
      </c>
      <c r="C688" s="242">
        <v>65.5</v>
      </c>
      <c r="D688" s="243">
        <v>72.7</v>
      </c>
      <c r="E688" s="241">
        <v>68.3</v>
      </c>
      <c r="F688" s="242">
        <v>73.8</v>
      </c>
      <c r="G688" s="243">
        <v>81.8</v>
      </c>
      <c r="H688" s="241">
        <v>80.5</v>
      </c>
      <c r="I688" s="242">
        <v>87</v>
      </c>
      <c r="J688" s="243">
        <v>96.1</v>
      </c>
      <c r="K688" s="241">
        <v>105.3</v>
      </c>
      <c r="L688" s="242">
        <v>113.5</v>
      </c>
      <c r="M688" s="243">
        <v>124.7</v>
      </c>
      <c r="N688" s="241">
        <v>162.9</v>
      </c>
      <c r="O688" s="242">
        <v>174.8</v>
      </c>
      <c r="P688" s="243">
        <v>188.9</v>
      </c>
      <c r="Z688" s="244">
        <f t="shared" si="31"/>
        <v>69.199999999999761</v>
      </c>
      <c r="AA688" s="376">
        <f t="shared" si="32"/>
        <v>1.8639069578167337E-5</v>
      </c>
    </row>
    <row r="689" spans="1:27">
      <c r="A689" s="244">
        <f t="shared" si="30"/>
        <v>69.299999999999756</v>
      </c>
      <c r="B689" s="241">
        <v>59.2</v>
      </c>
      <c r="C689" s="242">
        <v>64.099999999999994</v>
      </c>
      <c r="D689" s="243">
        <v>71.2</v>
      </c>
      <c r="E689" s="241">
        <v>66.8</v>
      </c>
      <c r="F689" s="242">
        <v>72.2</v>
      </c>
      <c r="G689" s="243">
        <v>80.099999999999994</v>
      </c>
      <c r="H689" s="241">
        <v>78.8</v>
      </c>
      <c r="I689" s="242">
        <v>85.2</v>
      </c>
      <c r="J689" s="243">
        <v>94.3</v>
      </c>
      <c r="K689" s="241">
        <v>103.1</v>
      </c>
      <c r="L689" s="242">
        <v>111.3</v>
      </c>
      <c r="M689" s="243">
        <v>122.5</v>
      </c>
      <c r="N689" s="241">
        <v>160.30000000000001</v>
      </c>
      <c r="O689" s="242">
        <v>172.2</v>
      </c>
      <c r="P689" s="243">
        <v>186.4</v>
      </c>
      <c r="Z689" s="244">
        <f t="shared" si="31"/>
        <v>69.299999999999756</v>
      </c>
      <c r="AA689" s="376">
        <f t="shared" si="32"/>
        <v>1.8565198372254108E-5</v>
      </c>
    </row>
    <row r="690" spans="1:27">
      <c r="A690" s="244">
        <f t="shared" si="30"/>
        <v>69.39999999999975</v>
      </c>
      <c r="B690" s="241">
        <v>57.9</v>
      </c>
      <c r="C690" s="242">
        <v>62.7</v>
      </c>
      <c r="D690" s="243">
        <v>69.8</v>
      </c>
      <c r="E690" s="241">
        <v>65.3</v>
      </c>
      <c r="F690" s="242">
        <v>70.7</v>
      </c>
      <c r="G690" s="243">
        <v>78.599999999999994</v>
      </c>
      <c r="H690" s="241">
        <v>77.099999999999994</v>
      </c>
      <c r="I690" s="242">
        <v>83.4</v>
      </c>
      <c r="J690" s="243">
        <v>92.5</v>
      </c>
      <c r="K690" s="241">
        <v>101.1</v>
      </c>
      <c r="L690" s="242">
        <v>109.2</v>
      </c>
      <c r="M690" s="243">
        <v>120.5</v>
      </c>
      <c r="N690" s="241">
        <v>157.80000000000001</v>
      </c>
      <c r="O690" s="242">
        <v>169.7</v>
      </c>
      <c r="P690" s="243">
        <v>184.1</v>
      </c>
      <c r="Z690" s="244">
        <f t="shared" si="31"/>
        <v>69.39999999999975</v>
      </c>
      <c r="AA690" s="376">
        <f t="shared" si="32"/>
        <v>1.8491725823111774E-5</v>
      </c>
    </row>
    <row r="691" spans="1:27">
      <c r="A691" s="244">
        <f t="shared" si="30"/>
        <v>69.499999999999744</v>
      </c>
      <c r="B691" s="241">
        <v>56.7</v>
      </c>
      <c r="C691" s="242">
        <v>61.4</v>
      </c>
      <c r="D691" s="243">
        <v>68.5</v>
      </c>
      <c r="E691" s="241">
        <v>63.9</v>
      </c>
      <c r="F691" s="242">
        <v>69.3</v>
      </c>
      <c r="G691" s="243">
        <v>77.2</v>
      </c>
      <c r="H691" s="241">
        <v>75.5</v>
      </c>
      <c r="I691" s="242">
        <v>81.8</v>
      </c>
      <c r="J691" s="243">
        <v>90.9</v>
      </c>
      <c r="K691" s="241">
        <v>99.1</v>
      </c>
      <c r="L691" s="242">
        <v>107.2</v>
      </c>
      <c r="M691" s="243">
        <v>118.5</v>
      </c>
      <c r="N691" s="241">
        <v>155.30000000000001</v>
      </c>
      <c r="O691" s="242">
        <v>167.2</v>
      </c>
      <c r="P691" s="243">
        <v>181.8</v>
      </c>
      <c r="Z691" s="244">
        <f t="shared" si="31"/>
        <v>69.499999999999744</v>
      </c>
      <c r="AA691" s="376">
        <f t="shared" si="32"/>
        <v>1.8418649209538462E-5</v>
      </c>
    </row>
    <row r="692" spans="1:27">
      <c r="A692" s="244">
        <f t="shared" si="30"/>
        <v>69.599999999999739</v>
      </c>
      <c r="B692" s="241">
        <v>55.5</v>
      </c>
      <c r="C692" s="242">
        <v>60.2</v>
      </c>
      <c r="D692" s="243">
        <v>67.3</v>
      </c>
      <c r="E692" s="241">
        <v>62.6</v>
      </c>
      <c r="F692" s="242">
        <v>67.900000000000006</v>
      </c>
      <c r="G692" s="243">
        <v>75.8</v>
      </c>
      <c r="H692" s="241">
        <v>73.900000000000006</v>
      </c>
      <c r="I692" s="242">
        <v>80.2</v>
      </c>
      <c r="J692" s="243">
        <v>89.3</v>
      </c>
      <c r="K692" s="241">
        <v>97.2</v>
      </c>
      <c r="L692" s="242">
        <v>105.3</v>
      </c>
      <c r="M692" s="243">
        <v>116.6</v>
      </c>
      <c r="N692" s="241">
        <v>152.9</v>
      </c>
      <c r="O692" s="242">
        <v>164.9</v>
      </c>
      <c r="P692" s="243">
        <v>179.6</v>
      </c>
      <c r="Z692" s="244">
        <f t="shared" si="31"/>
        <v>69.599999999999739</v>
      </c>
      <c r="AA692" s="376">
        <f t="shared" si="32"/>
        <v>1.8345965832785173E-5</v>
      </c>
    </row>
    <row r="693" spans="1:27">
      <c r="A693" s="244">
        <f t="shared" si="30"/>
        <v>69.699999999999733</v>
      </c>
      <c r="B693" s="241">
        <v>54.3</v>
      </c>
      <c r="C693" s="242">
        <v>59.1</v>
      </c>
      <c r="D693" s="243">
        <v>66.099999999999994</v>
      </c>
      <c r="E693" s="241">
        <v>61.3</v>
      </c>
      <c r="F693" s="242">
        <v>66.599999999999994</v>
      </c>
      <c r="G693" s="243">
        <v>74.5</v>
      </c>
      <c r="H693" s="241">
        <v>72.5</v>
      </c>
      <c r="I693" s="242">
        <v>78.7</v>
      </c>
      <c r="J693" s="243">
        <v>87.8</v>
      </c>
      <c r="K693" s="241">
        <v>95.3</v>
      </c>
      <c r="L693" s="242">
        <v>103.5</v>
      </c>
      <c r="M693" s="243">
        <v>114.8</v>
      </c>
      <c r="N693" s="241">
        <v>150.6</v>
      </c>
      <c r="O693" s="242">
        <v>162.6</v>
      </c>
      <c r="P693" s="243">
        <v>177.4</v>
      </c>
      <c r="Z693" s="244">
        <f t="shared" si="31"/>
        <v>69.699999999999733</v>
      </c>
      <c r="AA693" s="376">
        <f t="shared" si="32"/>
        <v>1.827367301633869E-5</v>
      </c>
    </row>
    <row r="694" spans="1:27">
      <c r="A694" s="244">
        <f t="shared" si="30"/>
        <v>69.799999999999727</v>
      </c>
      <c r="B694" s="241">
        <v>53.2</v>
      </c>
      <c r="C694" s="242">
        <v>57.9</v>
      </c>
      <c r="D694" s="243">
        <v>65</v>
      </c>
      <c r="E694" s="241">
        <v>60.1</v>
      </c>
      <c r="F694" s="242">
        <v>65.400000000000006</v>
      </c>
      <c r="G694" s="243">
        <v>73.3</v>
      </c>
      <c r="H694" s="241">
        <v>71</v>
      </c>
      <c r="I694" s="242">
        <v>77.3</v>
      </c>
      <c r="J694" s="243">
        <v>86.4</v>
      </c>
      <c r="K694" s="241">
        <v>93.6</v>
      </c>
      <c r="L694" s="242">
        <v>101.7</v>
      </c>
      <c r="M694" s="243">
        <v>113.1</v>
      </c>
      <c r="N694" s="241">
        <v>148.4</v>
      </c>
      <c r="O694" s="242">
        <v>160.4</v>
      </c>
      <c r="P694" s="243">
        <v>175.4</v>
      </c>
      <c r="Z694" s="244">
        <f t="shared" si="31"/>
        <v>69.799999999999727</v>
      </c>
      <c r="AA694" s="376">
        <f t="shared" si="32"/>
        <v>1.8201768105706776E-5</v>
      </c>
    </row>
    <row r="695" spans="1:27">
      <c r="A695" s="244">
        <f t="shared" si="30"/>
        <v>69.899999999999721</v>
      </c>
      <c r="B695" s="241">
        <v>52.1</v>
      </c>
      <c r="C695" s="242">
        <v>56.9</v>
      </c>
      <c r="D695" s="243">
        <v>63.9</v>
      </c>
      <c r="E695" s="241">
        <v>58.9</v>
      </c>
      <c r="F695" s="242">
        <v>64.2</v>
      </c>
      <c r="G695" s="243">
        <v>72.099999999999994</v>
      </c>
      <c r="H695" s="241">
        <v>69.7</v>
      </c>
      <c r="I695" s="242">
        <v>75.900000000000006</v>
      </c>
      <c r="J695" s="243">
        <v>85.1</v>
      </c>
      <c r="K695" s="241">
        <v>91.9</v>
      </c>
      <c r="L695" s="242">
        <v>100</v>
      </c>
      <c r="M695" s="243">
        <v>111.4</v>
      </c>
      <c r="N695" s="241">
        <v>146.1</v>
      </c>
      <c r="O695" s="242">
        <v>158.19999999999999</v>
      </c>
      <c r="P695" s="243">
        <v>173.3</v>
      </c>
      <c r="Z695" s="244">
        <f t="shared" si="31"/>
        <v>69.899999999999721</v>
      </c>
      <c r="AA695" s="376">
        <f t="shared" si="32"/>
        <v>1.8130248468205813E-5</v>
      </c>
    </row>
    <row r="696" spans="1:27">
      <c r="A696" s="244">
        <f t="shared" si="30"/>
        <v>69.999999999999716</v>
      </c>
      <c r="B696" s="241">
        <v>51.1</v>
      </c>
      <c r="C696" s="242">
        <v>55.8</v>
      </c>
      <c r="D696" s="243">
        <v>62.9</v>
      </c>
      <c r="E696" s="241">
        <v>57.7</v>
      </c>
      <c r="F696" s="242">
        <v>63.1</v>
      </c>
      <c r="G696" s="243">
        <v>70.900000000000006</v>
      </c>
      <c r="H696" s="241">
        <v>68.3</v>
      </c>
      <c r="I696" s="242">
        <v>74.599999999999994</v>
      </c>
      <c r="J696" s="243">
        <v>83.8</v>
      </c>
      <c r="K696" s="241">
        <v>90.2</v>
      </c>
      <c r="L696" s="242">
        <v>98.4</v>
      </c>
      <c r="M696" s="243">
        <v>109.8</v>
      </c>
      <c r="N696" s="241">
        <v>144</v>
      </c>
      <c r="O696" s="242">
        <v>156.1</v>
      </c>
      <c r="P696" s="243">
        <v>171.4</v>
      </c>
      <c r="Z696" s="244">
        <f t="shared" si="31"/>
        <v>69.999999999999716</v>
      </c>
      <c r="AA696" s="376">
        <f t="shared" si="32"/>
        <v>1.8059111492750726E-5</v>
      </c>
    </row>
    <row r="697" spans="1:27">
      <c r="A697" s="244">
        <f t="shared" si="30"/>
        <v>70.09999999999971</v>
      </c>
      <c r="B697" s="241">
        <v>50.1</v>
      </c>
      <c r="C697" s="242">
        <v>54.9</v>
      </c>
      <c r="D697" s="243">
        <v>61.9</v>
      </c>
      <c r="E697" s="241">
        <v>56.6</v>
      </c>
      <c r="F697" s="242">
        <v>62</v>
      </c>
      <c r="G697" s="243">
        <v>69.8</v>
      </c>
      <c r="H697" s="241">
        <v>67.099999999999994</v>
      </c>
      <c r="I697" s="242">
        <v>73.3</v>
      </c>
      <c r="J697" s="243">
        <v>82.5</v>
      </c>
      <c r="K697" s="241">
        <v>88.6</v>
      </c>
      <c r="L697" s="242">
        <v>96.8</v>
      </c>
      <c r="M697" s="243">
        <v>108.3</v>
      </c>
      <c r="N697" s="241">
        <v>141.9</v>
      </c>
      <c r="O697" s="242">
        <v>154.1</v>
      </c>
      <c r="P697" s="243">
        <v>169.5</v>
      </c>
      <c r="Z697" s="244">
        <f t="shared" si="31"/>
        <v>70.09999999999971</v>
      </c>
      <c r="AA697" s="376">
        <f t="shared" si="32"/>
        <v>1.7988354589647332E-5</v>
      </c>
    </row>
    <row r="698" spans="1:27">
      <c r="A698" s="244">
        <f t="shared" si="30"/>
        <v>70.199999999999704</v>
      </c>
      <c r="B698" s="241">
        <v>49.2</v>
      </c>
      <c r="C698" s="242">
        <v>53.9</v>
      </c>
      <c r="D698" s="243">
        <v>61</v>
      </c>
      <c r="E698" s="241">
        <v>55.6</v>
      </c>
      <c r="F698" s="242">
        <v>60.9</v>
      </c>
      <c r="G698" s="243">
        <v>68.8</v>
      </c>
      <c r="H698" s="241">
        <v>65.8</v>
      </c>
      <c r="I698" s="242">
        <v>72.099999999999994</v>
      </c>
      <c r="J698" s="243">
        <v>81.3</v>
      </c>
      <c r="K698" s="241">
        <v>87.1</v>
      </c>
      <c r="L698" s="242">
        <v>95.2</v>
      </c>
      <c r="M698" s="243">
        <v>106.8</v>
      </c>
      <c r="N698" s="241">
        <v>139.9</v>
      </c>
      <c r="O698" s="242">
        <v>152.1</v>
      </c>
      <c r="P698" s="243">
        <v>167.7</v>
      </c>
      <c r="Z698" s="244">
        <f t="shared" si="31"/>
        <v>70.199999999999704</v>
      </c>
      <c r="AA698" s="376">
        <f t="shared" si="32"/>
        <v>1.7917975190386866E-5</v>
      </c>
    </row>
    <row r="699" spans="1:27">
      <c r="A699" s="244">
        <f t="shared" si="30"/>
        <v>70.299999999999699</v>
      </c>
      <c r="B699" s="241">
        <v>48.3</v>
      </c>
      <c r="C699" s="242">
        <v>53</v>
      </c>
      <c r="D699" s="243">
        <v>60.1</v>
      </c>
      <c r="E699" s="241">
        <v>54.5</v>
      </c>
      <c r="F699" s="242">
        <v>59.9</v>
      </c>
      <c r="G699" s="243">
        <v>67.8</v>
      </c>
      <c r="H699" s="241">
        <v>64.599999999999994</v>
      </c>
      <c r="I699" s="242">
        <v>70.900000000000006</v>
      </c>
      <c r="J699" s="243">
        <v>80.099999999999994</v>
      </c>
      <c r="K699" s="241">
        <v>85.6</v>
      </c>
      <c r="L699" s="242">
        <v>93.8</v>
      </c>
      <c r="M699" s="243">
        <v>105.4</v>
      </c>
      <c r="N699" s="241">
        <v>137.9</v>
      </c>
      <c r="O699" s="242">
        <v>150.19999999999999</v>
      </c>
      <c r="P699" s="243">
        <v>165.9</v>
      </c>
      <c r="Z699" s="244">
        <f t="shared" si="31"/>
        <v>70.299999999999699</v>
      </c>
      <c r="AA699" s="376">
        <f t="shared" si="32"/>
        <v>1.7847970747442839E-5</v>
      </c>
    </row>
    <row r="700" spans="1:27">
      <c r="A700" s="244">
        <f t="shared" si="30"/>
        <v>70.399999999999693</v>
      </c>
      <c r="B700" s="241">
        <v>47.4</v>
      </c>
      <c r="C700" s="242">
        <v>52.1</v>
      </c>
      <c r="D700" s="243">
        <v>59.2</v>
      </c>
      <c r="E700" s="241">
        <v>53.6</v>
      </c>
      <c r="F700" s="242">
        <v>58.9</v>
      </c>
      <c r="G700" s="243">
        <v>66.8</v>
      </c>
      <c r="H700" s="241">
        <v>63.5</v>
      </c>
      <c r="I700" s="242">
        <v>69.8</v>
      </c>
      <c r="J700" s="243">
        <v>79</v>
      </c>
      <c r="K700" s="241">
        <v>84.1</v>
      </c>
      <c r="L700" s="242">
        <v>92.3</v>
      </c>
      <c r="M700" s="243">
        <v>104</v>
      </c>
      <c r="N700" s="241">
        <v>135.9</v>
      </c>
      <c r="O700" s="242">
        <v>148.30000000000001</v>
      </c>
      <c r="P700" s="243">
        <v>164.2</v>
      </c>
      <c r="Z700" s="244">
        <f t="shared" si="31"/>
        <v>70.399999999999693</v>
      </c>
      <c r="AA700" s="376">
        <f t="shared" si="32"/>
        <v>1.7778338734070102E-5</v>
      </c>
    </row>
    <row r="701" spans="1:27">
      <c r="A701" s="244">
        <f t="shared" si="30"/>
        <v>70.499999999999687</v>
      </c>
      <c r="B701" s="241">
        <v>46.5</v>
      </c>
      <c r="C701" s="242">
        <v>51.3</v>
      </c>
      <c r="D701" s="243">
        <v>58.3</v>
      </c>
      <c r="E701" s="241">
        <v>52.6</v>
      </c>
      <c r="F701" s="242">
        <v>58</v>
      </c>
      <c r="G701" s="243">
        <v>65.900000000000006</v>
      </c>
      <c r="H701" s="241">
        <v>62.4</v>
      </c>
      <c r="I701" s="242">
        <v>68.7</v>
      </c>
      <c r="J701" s="243">
        <v>77.900000000000006</v>
      </c>
      <c r="K701" s="241">
        <v>82.7</v>
      </c>
      <c r="L701" s="242">
        <v>91</v>
      </c>
      <c r="M701" s="243">
        <v>102.7</v>
      </c>
      <c r="N701" s="241">
        <v>134</v>
      </c>
      <c r="O701" s="242">
        <v>146.5</v>
      </c>
      <c r="P701" s="243">
        <v>162.5</v>
      </c>
      <c r="Z701" s="244">
        <f t="shared" si="31"/>
        <v>70.499999999999687</v>
      </c>
      <c r="AA701" s="376">
        <f t="shared" si="32"/>
        <v>1.770907664410612E-5</v>
      </c>
    </row>
    <row r="702" spans="1:27">
      <c r="A702" s="244">
        <f t="shared" si="30"/>
        <v>70.599999999999682</v>
      </c>
      <c r="B702" s="241">
        <v>45.7</v>
      </c>
      <c r="C702" s="242">
        <v>50.5</v>
      </c>
      <c r="D702" s="243">
        <v>57.5</v>
      </c>
      <c r="E702" s="241">
        <v>51.7</v>
      </c>
      <c r="F702" s="242">
        <v>57</v>
      </c>
      <c r="G702" s="243">
        <v>65</v>
      </c>
      <c r="H702" s="241">
        <v>61.3</v>
      </c>
      <c r="I702" s="242">
        <v>67.599999999999994</v>
      </c>
      <c r="J702" s="243">
        <v>76.900000000000006</v>
      </c>
      <c r="K702" s="241">
        <v>81.3</v>
      </c>
      <c r="L702" s="242">
        <v>89.6</v>
      </c>
      <c r="M702" s="243">
        <v>101.4</v>
      </c>
      <c r="N702" s="241">
        <v>132.1</v>
      </c>
      <c r="O702" s="242">
        <v>144.69999999999999</v>
      </c>
      <c r="P702" s="243">
        <v>160.80000000000001</v>
      </c>
      <c r="Z702" s="244">
        <f t="shared" si="31"/>
        <v>70.599999999999682</v>
      </c>
      <c r="AA702" s="376">
        <f t="shared" si="32"/>
        <v>1.7640181991774444E-5</v>
      </c>
    </row>
    <row r="703" spans="1:27">
      <c r="A703" s="244">
        <f t="shared" si="30"/>
        <v>70.699999999999676</v>
      </c>
      <c r="B703" s="241">
        <v>44.9</v>
      </c>
      <c r="C703" s="242">
        <v>49.7</v>
      </c>
      <c r="D703" s="243">
        <v>56.8</v>
      </c>
      <c r="E703" s="241">
        <v>50.8</v>
      </c>
      <c r="F703" s="242">
        <v>56.2</v>
      </c>
      <c r="G703" s="243">
        <v>64.099999999999994</v>
      </c>
      <c r="H703" s="241">
        <v>60.2</v>
      </c>
      <c r="I703" s="242">
        <v>66.599999999999994</v>
      </c>
      <c r="J703" s="243">
        <v>75.900000000000006</v>
      </c>
      <c r="K703" s="241">
        <v>80</v>
      </c>
      <c r="L703" s="242">
        <v>88.3</v>
      </c>
      <c r="M703" s="243">
        <v>100.1</v>
      </c>
      <c r="N703" s="241">
        <v>130.30000000000001</v>
      </c>
      <c r="O703" s="242">
        <v>142.9</v>
      </c>
      <c r="P703" s="243">
        <v>159.19999999999999</v>
      </c>
      <c r="Z703" s="244">
        <f t="shared" si="31"/>
        <v>70.699999999999676</v>
      </c>
      <c r="AA703" s="376">
        <f t="shared" si="32"/>
        <v>1.7571652311490293E-5</v>
      </c>
    </row>
    <row r="704" spans="1:27">
      <c r="A704" s="244">
        <f t="shared" si="30"/>
        <v>70.79999999999967</v>
      </c>
      <c r="B704" s="241">
        <v>44.1</v>
      </c>
      <c r="C704" s="242">
        <v>48.9</v>
      </c>
      <c r="D704" s="243">
        <v>56</v>
      </c>
      <c r="E704" s="241">
        <v>49.9</v>
      </c>
      <c r="F704" s="242">
        <v>55.3</v>
      </c>
      <c r="G704" s="243">
        <v>63.3</v>
      </c>
      <c r="H704" s="241">
        <v>59.2</v>
      </c>
      <c r="I704" s="242">
        <v>65.599999999999994</v>
      </c>
      <c r="J704" s="243">
        <v>74.900000000000006</v>
      </c>
      <c r="K704" s="241">
        <v>78.7</v>
      </c>
      <c r="L704" s="242">
        <v>87.1</v>
      </c>
      <c r="M704" s="243">
        <v>98.9</v>
      </c>
      <c r="N704" s="241">
        <v>128.5</v>
      </c>
      <c r="O704" s="242">
        <v>141.19999999999999</v>
      </c>
      <c r="P704" s="243">
        <v>157.69999999999999</v>
      </c>
      <c r="Z704" s="244">
        <f t="shared" si="31"/>
        <v>70.79999999999967</v>
      </c>
      <c r="AA704" s="376">
        <f t="shared" si="32"/>
        <v>1.7503485157668307E-5</v>
      </c>
    </row>
    <row r="705" spans="1:27">
      <c r="A705" s="244">
        <f t="shared" si="30"/>
        <v>70.899999999999665</v>
      </c>
      <c r="B705" s="241">
        <v>43.4</v>
      </c>
      <c r="C705" s="242">
        <v>48.2</v>
      </c>
      <c r="D705" s="243">
        <v>55.3</v>
      </c>
      <c r="E705" s="241">
        <v>49.1</v>
      </c>
      <c r="F705" s="242">
        <v>54.5</v>
      </c>
      <c r="G705" s="243">
        <v>62.5</v>
      </c>
      <c r="H705" s="241">
        <v>58.2</v>
      </c>
      <c r="I705" s="242">
        <v>64.599999999999994</v>
      </c>
      <c r="J705" s="243">
        <v>74</v>
      </c>
      <c r="K705" s="241">
        <v>77.5</v>
      </c>
      <c r="L705" s="242">
        <v>85.8</v>
      </c>
      <c r="M705" s="243">
        <v>97.7</v>
      </c>
      <c r="N705" s="241">
        <v>126.8</v>
      </c>
      <c r="O705" s="242">
        <v>139.6</v>
      </c>
      <c r="P705" s="243">
        <v>156.19999999999999</v>
      </c>
      <c r="Z705" s="244">
        <f t="shared" si="31"/>
        <v>70.899999999999665</v>
      </c>
      <c r="AA705" s="376">
        <f t="shared" si="32"/>
        <v>1.7435678104532373E-5</v>
      </c>
    </row>
    <row r="706" spans="1:27">
      <c r="A706" s="244">
        <f t="shared" si="30"/>
        <v>70.999999999999659</v>
      </c>
      <c r="B706" s="241">
        <v>42.7</v>
      </c>
      <c r="C706" s="242">
        <v>47.5</v>
      </c>
      <c r="D706" s="243">
        <v>54.6</v>
      </c>
      <c r="E706" s="241">
        <v>48.3</v>
      </c>
      <c r="F706" s="242">
        <v>53.7</v>
      </c>
      <c r="G706" s="243">
        <v>61.7</v>
      </c>
      <c r="H706" s="241">
        <v>57.3</v>
      </c>
      <c r="I706" s="242">
        <v>63.7</v>
      </c>
      <c r="J706" s="243">
        <v>73.099999999999994</v>
      </c>
      <c r="K706" s="241">
        <v>76.2</v>
      </c>
      <c r="L706" s="242">
        <v>84.7</v>
      </c>
      <c r="M706" s="243">
        <v>96.6</v>
      </c>
      <c r="N706" s="241">
        <v>125.1</v>
      </c>
      <c r="O706" s="242">
        <v>137.9</v>
      </c>
      <c r="P706" s="243">
        <v>154.69999999999999</v>
      </c>
      <c r="Z706" s="244">
        <f t="shared" si="31"/>
        <v>70.999999999999659</v>
      </c>
      <c r="AA706" s="376">
        <f t="shared" si="32"/>
        <v>1.7368228745927518E-5</v>
      </c>
    </row>
    <row r="707" spans="1:27">
      <c r="A707" s="244">
        <f t="shared" si="30"/>
        <v>71.099999999999653</v>
      </c>
      <c r="B707" s="241">
        <v>42</v>
      </c>
      <c r="C707" s="242">
        <v>46.8</v>
      </c>
      <c r="D707" s="243">
        <v>53.9</v>
      </c>
      <c r="E707" s="241">
        <v>47.5</v>
      </c>
      <c r="F707" s="242">
        <v>52.9</v>
      </c>
      <c r="G707" s="243">
        <v>60.9</v>
      </c>
      <c r="H707" s="241">
        <v>56.4</v>
      </c>
      <c r="I707" s="242">
        <v>62.8</v>
      </c>
      <c r="J707" s="243">
        <v>72.2</v>
      </c>
      <c r="K707" s="241">
        <v>75.099999999999994</v>
      </c>
      <c r="L707" s="242">
        <v>83.5</v>
      </c>
      <c r="M707" s="243">
        <v>95.5</v>
      </c>
      <c r="N707" s="241">
        <v>123.4</v>
      </c>
      <c r="O707" s="242">
        <v>136.4</v>
      </c>
      <c r="P707" s="243">
        <v>153.30000000000001</v>
      </c>
      <c r="Z707" s="244">
        <f t="shared" si="31"/>
        <v>71.099999999999653</v>
      </c>
      <c r="AA707" s="376">
        <f t="shared" si="32"/>
        <v>1.7301134695133894E-5</v>
      </c>
    </row>
    <row r="708" spans="1:27">
      <c r="A708" s="244">
        <f t="shared" si="30"/>
        <v>71.199999999999648</v>
      </c>
      <c r="B708" s="241">
        <v>41.3</v>
      </c>
      <c r="C708" s="242">
        <v>46.1</v>
      </c>
      <c r="D708" s="243">
        <v>53.3</v>
      </c>
      <c r="E708" s="241">
        <v>46.7</v>
      </c>
      <c r="F708" s="242">
        <v>52.2</v>
      </c>
      <c r="G708" s="243">
        <v>60.2</v>
      </c>
      <c r="H708" s="241">
        <v>55.5</v>
      </c>
      <c r="I708" s="242">
        <v>61.9</v>
      </c>
      <c r="J708" s="243">
        <v>71.400000000000006</v>
      </c>
      <c r="K708" s="241">
        <v>73.900000000000006</v>
      </c>
      <c r="L708" s="242">
        <v>82.4</v>
      </c>
      <c r="M708" s="243">
        <v>94.5</v>
      </c>
      <c r="N708" s="241">
        <v>121.8</v>
      </c>
      <c r="O708" s="242">
        <v>134.80000000000001</v>
      </c>
      <c r="P708" s="243">
        <v>151.9</v>
      </c>
      <c r="Z708" s="244">
        <f t="shared" si="31"/>
        <v>71.199999999999648</v>
      </c>
      <c r="AA708" s="376">
        <f t="shared" si="32"/>
        <v>1.7234393584682696E-5</v>
      </c>
    </row>
    <row r="709" spans="1:27">
      <c r="A709" s="244">
        <f t="shared" si="30"/>
        <v>71.299999999999642</v>
      </c>
      <c r="B709" s="241">
        <v>40.6</v>
      </c>
      <c r="C709" s="242">
        <v>45.5</v>
      </c>
      <c r="D709" s="243">
        <v>52.6</v>
      </c>
      <c r="E709" s="241">
        <v>46</v>
      </c>
      <c r="F709" s="242">
        <v>51.4</v>
      </c>
      <c r="G709" s="243">
        <v>59.5</v>
      </c>
      <c r="H709" s="241">
        <v>54.6</v>
      </c>
      <c r="I709" s="242">
        <v>61.1</v>
      </c>
      <c r="J709" s="243">
        <v>70.5</v>
      </c>
      <c r="K709" s="241">
        <v>72.8</v>
      </c>
      <c r="L709" s="242">
        <v>81.3</v>
      </c>
      <c r="M709" s="243">
        <v>93.4</v>
      </c>
      <c r="N709" s="241">
        <v>120.2</v>
      </c>
      <c r="O709" s="242">
        <v>133.30000000000001</v>
      </c>
      <c r="P709" s="243">
        <v>150.5</v>
      </c>
      <c r="Z709" s="244">
        <f t="shared" si="31"/>
        <v>71.299999999999642</v>
      </c>
      <c r="AA709" s="376">
        <f t="shared" si="32"/>
        <v>1.7168003066174212E-5</v>
      </c>
    </row>
    <row r="710" spans="1:27">
      <c r="A710" s="244">
        <f t="shared" si="30"/>
        <v>71.399999999999636</v>
      </c>
      <c r="B710" s="241">
        <v>40</v>
      </c>
      <c r="C710" s="242">
        <v>44.8</v>
      </c>
      <c r="D710" s="243">
        <v>52</v>
      </c>
      <c r="E710" s="241">
        <v>45.2</v>
      </c>
      <c r="F710" s="242">
        <v>50.7</v>
      </c>
      <c r="G710" s="243">
        <v>58.8</v>
      </c>
      <c r="H710" s="241">
        <v>53.7</v>
      </c>
      <c r="I710" s="242">
        <v>60.3</v>
      </c>
      <c r="J710" s="243">
        <v>69.7</v>
      </c>
      <c r="K710" s="241">
        <v>71.7</v>
      </c>
      <c r="L710" s="242">
        <v>80.3</v>
      </c>
      <c r="M710" s="243">
        <v>92.4</v>
      </c>
      <c r="N710" s="241">
        <v>118.6</v>
      </c>
      <c r="O710" s="242">
        <v>131.80000000000001</v>
      </c>
      <c r="P710" s="243">
        <v>149.19999999999999</v>
      </c>
      <c r="Z710" s="244">
        <f t="shared" si="31"/>
        <v>71.399999999999636</v>
      </c>
      <c r="AA710" s="376">
        <f t="shared" si="32"/>
        <v>1.7101960810097693E-5</v>
      </c>
    </row>
    <row r="711" spans="1:27">
      <c r="A711" s="244">
        <f t="shared" ref="A711:A774" si="33">A710+0.1</f>
        <v>71.499999999999631</v>
      </c>
      <c r="B711" s="241">
        <v>39.4</v>
      </c>
      <c r="C711" s="242">
        <v>44.2</v>
      </c>
      <c r="D711" s="243">
        <v>51.4</v>
      </c>
      <c r="E711" s="241">
        <v>44.5</v>
      </c>
      <c r="F711" s="242">
        <v>50</v>
      </c>
      <c r="G711" s="243">
        <v>58.2</v>
      </c>
      <c r="H711" s="241">
        <v>52.9</v>
      </c>
      <c r="I711" s="242">
        <v>59.5</v>
      </c>
      <c r="J711" s="243">
        <v>69</v>
      </c>
      <c r="K711" s="241">
        <v>70.599999999999994</v>
      </c>
      <c r="L711" s="242">
        <v>79.2</v>
      </c>
      <c r="M711" s="243">
        <v>91.5</v>
      </c>
      <c r="N711" s="241">
        <v>117.1</v>
      </c>
      <c r="O711" s="242">
        <v>130.4</v>
      </c>
      <c r="P711" s="243">
        <v>147.9</v>
      </c>
      <c r="Z711" s="244">
        <f t="shared" ref="Z711:Z774" si="34">Z710+0.1</f>
        <v>71.499999999999631</v>
      </c>
      <c r="AA711" s="376">
        <f t="shared" ref="AA711:AA774" si="35">T_gal(Z711)</f>
        <v>1.7036264505653312E-5</v>
      </c>
    </row>
    <row r="712" spans="1:27">
      <c r="A712" s="244">
        <f t="shared" si="33"/>
        <v>71.599999999999625</v>
      </c>
      <c r="B712" s="241">
        <v>38.799999999999997</v>
      </c>
      <c r="C712" s="242">
        <v>43.6</v>
      </c>
      <c r="D712" s="243">
        <v>50.9</v>
      </c>
      <c r="E712" s="241">
        <v>43.8</v>
      </c>
      <c r="F712" s="242">
        <v>49.4</v>
      </c>
      <c r="G712" s="243">
        <v>57.5</v>
      </c>
      <c r="H712" s="241">
        <v>52.1</v>
      </c>
      <c r="I712" s="242">
        <v>58.7</v>
      </c>
      <c r="J712" s="243">
        <v>68.2</v>
      </c>
      <c r="K712" s="241">
        <v>69.599999999999994</v>
      </c>
      <c r="L712" s="242">
        <v>78.2</v>
      </c>
      <c r="M712" s="243">
        <v>90.5</v>
      </c>
      <c r="N712" s="241">
        <v>115.6</v>
      </c>
      <c r="O712" s="242">
        <v>129</v>
      </c>
      <c r="P712" s="243">
        <v>146.6</v>
      </c>
      <c r="Z712" s="244">
        <f t="shared" si="34"/>
        <v>71.599999999999625</v>
      </c>
      <c r="AA712" s="376">
        <f t="shared" si="35"/>
        <v>1.6970911860575931E-5</v>
      </c>
    </row>
    <row r="713" spans="1:27">
      <c r="A713" s="244">
        <f t="shared" si="33"/>
        <v>71.699999999999619</v>
      </c>
      <c r="B713" s="241">
        <v>38.200000000000003</v>
      </c>
      <c r="C713" s="242">
        <v>43.1</v>
      </c>
      <c r="D713" s="243">
        <v>50.3</v>
      </c>
      <c r="E713" s="241">
        <v>43.2</v>
      </c>
      <c r="F713" s="242">
        <v>48.7</v>
      </c>
      <c r="G713" s="243">
        <v>56.9</v>
      </c>
      <c r="H713" s="241">
        <v>51.3</v>
      </c>
      <c r="I713" s="242">
        <v>57.9</v>
      </c>
      <c r="J713" s="243">
        <v>67.5</v>
      </c>
      <c r="K713" s="241">
        <v>68.599999999999994</v>
      </c>
      <c r="L713" s="242">
        <v>77.3</v>
      </c>
      <c r="M713" s="243">
        <v>89.6</v>
      </c>
      <c r="N713" s="241">
        <v>114.1</v>
      </c>
      <c r="O713" s="242">
        <v>127.6</v>
      </c>
      <c r="P713" s="243">
        <v>145.4</v>
      </c>
      <c r="Z713" s="244">
        <f t="shared" si="34"/>
        <v>71.699999999999619</v>
      </c>
      <c r="AA713" s="376">
        <f t="shared" si="35"/>
        <v>1.690590060096086E-5</v>
      </c>
    </row>
    <row r="714" spans="1:27">
      <c r="A714" s="244">
        <f t="shared" si="33"/>
        <v>71.799999999999613</v>
      </c>
      <c r="B714" s="241">
        <v>37.6</v>
      </c>
      <c r="C714" s="242">
        <v>42.5</v>
      </c>
      <c r="D714" s="243">
        <v>49.8</v>
      </c>
      <c r="E714" s="241">
        <v>42.5</v>
      </c>
      <c r="F714" s="242">
        <v>48.1</v>
      </c>
      <c r="G714" s="243">
        <v>56.3</v>
      </c>
      <c r="H714" s="241">
        <v>50.6</v>
      </c>
      <c r="I714" s="242">
        <v>57.2</v>
      </c>
      <c r="J714" s="243">
        <v>66.8</v>
      </c>
      <c r="K714" s="241">
        <v>67.599999999999994</v>
      </c>
      <c r="L714" s="242">
        <v>76.3</v>
      </c>
      <c r="M714" s="243">
        <v>88.7</v>
      </c>
      <c r="N714" s="241">
        <v>112.7</v>
      </c>
      <c r="O714" s="242">
        <v>126.3</v>
      </c>
      <c r="P714" s="243">
        <v>144.19999999999999</v>
      </c>
      <c r="Z714" s="244">
        <f t="shared" si="34"/>
        <v>71.799999999999613</v>
      </c>
      <c r="AA714" s="376">
        <f t="shared" si="35"/>
        <v>1.6841228471091465E-5</v>
      </c>
    </row>
    <row r="715" spans="1:27">
      <c r="A715" s="244">
        <f t="shared" si="33"/>
        <v>71.899999999999608</v>
      </c>
      <c r="B715" s="241">
        <v>37</v>
      </c>
      <c r="C715" s="242">
        <v>42</v>
      </c>
      <c r="D715" s="243">
        <v>49.2</v>
      </c>
      <c r="E715" s="241">
        <v>41.9</v>
      </c>
      <c r="F715" s="242">
        <v>47.5</v>
      </c>
      <c r="G715" s="243">
        <v>55.7</v>
      </c>
      <c r="H715" s="241">
        <v>49.8</v>
      </c>
      <c r="I715" s="242">
        <v>56.5</v>
      </c>
      <c r="J715" s="243">
        <v>66.099999999999994</v>
      </c>
      <c r="K715" s="241">
        <v>66.7</v>
      </c>
      <c r="L715" s="242">
        <v>75.400000000000006</v>
      </c>
      <c r="M715" s="243">
        <v>87.9</v>
      </c>
      <c r="N715" s="241">
        <v>111.3</v>
      </c>
      <c r="O715" s="242">
        <v>125</v>
      </c>
      <c r="P715" s="243">
        <v>143</v>
      </c>
      <c r="Z715" s="244">
        <f t="shared" si="34"/>
        <v>71.899999999999608</v>
      </c>
      <c r="AA715" s="376">
        <f t="shared" si="35"/>
        <v>1.6776893233268584E-5</v>
      </c>
    </row>
    <row r="716" spans="1:27">
      <c r="A716" s="244">
        <f t="shared" si="33"/>
        <v>71.999999999999602</v>
      </c>
      <c r="B716" s="241">
        <v>36.5</v>
      </c>
      <c r="C716" s="242">
        <v>41.5</v>
      </c>
      <c r="D716" s="243">
        <v>48.7</v>
      </c>
      <c r="E716" s="241">
        <v>41.3</v>
      </c>
      <c r="F716" s="242">
        <v>46.9</v>
      </c>
      <c r="G716" s="243">
        <v>55.1</v>
      </c>
      <c r="H716" s="241">
        <v>49.1</v>
      </c>
      <c r="I716" s="242">
        <v>55.8</v>
      </c>
      <c r="J716" s="243">
        <v>65.5</v>
      </c>
      <c r="K716" s="241">
        <v>65.7</v>
      </c>
      <c r="L716" s="242">
        <v>74.5</v>
      </c>
      <c r="M716" s="243">
        <v>87</v>
      </c>
      <c r="N716" s="241">
        <v>109.9</v>
      </c>
      <c r="O716" s="242">
        <v>123.7</v>
      </c>
      <c r="P716" s="243">
        <v>141.80000000000001</v>
      </c>
      <c r="Z716" s="244">
        <f t="shared" si="34"/>
        <v>71.999999999999602</v>
      </c>
      <c r="AA716" s="376">
        <f t="shared" si="35"/>
        <v>1.6712892667641851E-5</v>
      </c>
    </row>
    <row r="717" spans="1:27">
      <c r="A717" s="244">
        <f t="shared" si="33"/>
        <v>72.099999999999596</v>
      </c>
      <c r="B717" s="241">
        <v>36</v>
      </c>
      <c r="C717" s="242">
        <v>40.9</v>
      </c>
      <c r="D717" s="243">
        <v>48.3</v>
      </c>
      <c r="E717" s="241">
        <v>40.700000000000003</v>
      </c>
      <c r="F717" s="242">
        <v>46.4</v>
      </c>
      <c r="G717" s="243">
        <v>54.6</v>
      </c>
      <c r="H717" s="241">
        <v>48.4</v>
      </c>
      <c r="I717" s="242">
        <v>55.1</v>
      </c>
      <c r="J717" s="243">
        <v>64.8</v>
      </c>
      <c r="K717" s="241">
        <v>64.8</v>
      </c>
      <c r="L717" s="242">
        <v>73.7</v>
      </c>
      <c r="M717" s="243">
        <v>86.2</v>
      </c>
      <c r="N717" s="241">
        <v>108.5</v>
      </c>
      <c r="O717" s="242">
        <v>122.4</v>
      </c>
      <c r="P717" s="243">
        <v>140.69999999999999</v>
      </c>
      <c r="Z717" s="244">
        <f t="shared" si="34"/>
        <v>72.099999999999596</v>
      </c>
      <c r="AA717" s="376">
        <f t="shared" si="35"/>
        <v>1.6649224572042805E-5</v>
      </c>
    </row>
    <row r="718" spans="1:27">
      <c r="A718" s="244">
        <f t="shared" si="33"/>
        <v>72.199999999999591</v>
      </c>
      <c r="B718" s="241">
        <v>35.5</v>
      </c>
      <c r="C718" s="242">
        <v>40.5</v>
      </c>
      <c r="D718" s="243">
        <v>47.8</v>
      </c>
      <c r="E718" s="241">
        <v>40.1</v>
      </c>
      <c r="F718" s="242">
        <v>45.8</v>
      </c>
      <c r="G718" s="243">
        <v>54.1</v>
      </c>
      <c r="H718" s="241">
        <v>47.8</v>
      </c>
      <c r="I718" s="242">
        <v>54.5</v>
      </c>
      <c r="J718" s="243">
        <v>64.2</v>
      </c>
      <c r="K718" s="241">
        <v>63.9</v>
      </c>
      <c r="L718" s="242">
        <v>72.8</v>
      </c>
      <c r="M718" s="243">
        <v>85.4</v>
      </c>
      <c r="N718" s="241">
        <v>107.2</v>
      </c>
      <c r="O718" s="242">
        <v>121.2</v>
      </c>
      <c r="P718" s="243">
        <v>139.6</v>
      </c>
      <c r="Z718" s="244">
        <f t="shared" si="34"/>
        <v>72.199999999999591</v>
      </c>
      <c r="AA718" s="376">
        <f t="shared" si="35"/>
        <v>1.6585886761819744E-5</v>
      </c>
    </row>
    <row r="719" spans="1:27">
      <c r="A719" s="244">
        <f t="shared" si="33"/>
        <v>72.299999999999585</v>
      </c>
      <c r="B719" s="241">
        <v>35</v>
      </c>
      <c r="C719" s="242">
        <v>40</v>
      </c>
      <c r="D719" s="243">
        <v>47.3</v>
      </c>
      <c r="E719" s="241">
        <v>39.6</v>
      </c>
      <c r="F719" s="242">
        <v>45.3</v>
      </c>
      <c r="G719" s="243">
        <v>53.5</v>
      </c>
      <c r="H719" s="241">
        <v>47.1</v>
      </c>
      <c r="I719" s="242">
        <v>53.8</v>
      </c>
      <c r="J719" s="243">
        <v>63.6</v>
      </c>
      <c r="K719" s="241">
        <v>63.1</v>
      </c>
      <c r="L719" s="242">
        <v>72</v>
      </c>
      <c r="M719" s="243">
        <v>84.6</v>
      </c>
      <c r="N719" s="241">
        <v>105.9</v>
      </c>
      <c r="O719" s="242">
        <v>120</v>
      </c>
      <c r="P719" s="243">
        <v>138.6</v>
      </c>
      <c r="Z719" s="244">
        <f t="shared" si="34"/>
        <v>72.299999999999585</v>
      </c>
      <c r="AA719" s="376">
        <f t="shared" si="35"/>
        <v>1.6522877069674438E-5</v>
      </c>
    </row>
    <row r="720" spans="1:27">
      <c r="A720" s="244">
        <f t="shared" si="33"/>
        <v>72.399999999999579</v>
      </c>
      <c r="B720" s="241">
        <v>34.5</v>
      </c>
      <c r="C720" s="242">
        <v>39.5</v>
      </c>
      <c r="D720" s="243">
        <v>46.9</v>
      </c>
      <c r="E720" s="241">
        <v>39</v>
      </c>
      <c r="F720" s="242">
        <v>44.7</v>
      </c>
      <c r="G720" s="243">
        <v>53</v>
      </c>
      <c r="H720" s="241">
        <v>46.4</v>
      </c>
      <c r="I720" s="242">
        <v>53.2</v>
      </c>
      <c r="J720" s="243">
        <v>63</v>
      </c>
      <c r="K720" s="241">
        <v>62.2</v>
      </c>
      <c r="L720" s="242">
        <v>71.2</v>
      </c>
      <c r="M720" s="243">
        <v>83.9</v>
      </c>
      <c r="N720" s="241">
        <v>104.7</v>
      </c>
      <c r="O720" s="242">
        <v>118.8</v>
      </c>
      <c r="P720" s="243">
        <v>137.5</v>
      </c>
      <c r="Z720" s="244">
        <f t="shared" si="34"/>
        <v>72.399999999999579</v>
      </c>
      <c r="AA720" s="376">
        <f t="shared" si="35"/>
        <v>1.646019334550048E-5</v>
      </c>
    </row>
    <row r="721" spans="1:27">
      <c r="A721" s="244">
        <f t="shared" si="33"/>
        <v>72.499999999999574</v>
      </c>
      <c r="B721" s="241">
        <v>34</v>
      </c>
      <c r="C721" s="242">
        <v>39.1</v>
      </c>
      <c r="D721" s="243">
        <v>46.4</v>
      </c>
      <c r="E721" s="241">
        <v>38.5</v>
      </c>
      <c r="F721" s="242">
        <v>44.2</v>
      </c>
      <c r="G721" s="243">
        <v>52.6</v>
      </c>
      <c r="H721" s="241">
        <v>45.8</v>
      </c>
      <c r="I721" s="242">
        <v>52.6</v>
      </c>
      <c r="J721" s="243">
        <v>62.4</v>
      </c>
      <c r="K721" s="241">
        <v>61.4</v>
      </c>
      <c r="L721" s="242">
        <v>70.400000000000006</v>
      </c>
      <c r="M721" s="243">
        <v>83.2</v>
      </c>
      <c r="N721" s="241">
        <v>103.4</v>
      </c>
      <c r="O721" s="242">
        <v>117.7</v>
      </c>
      <c r="P721" s="243">
        <v>136.5</v>
      </c>
      <c r="Z721" s="244">
        <f t="shared" si="34"/>
        <v>72.499999999999574</v>
      </c>
      <c r="AA721" s="376">
        <f t="shared" si="35"/>
        <v>1.6397833456223459E-5</v>
      </c>
    </row>
    <row r="722" spans="1:27">
      <c r="A722" s="244">
        <f t="shared" si="33"/>
        <v>72.599999999999568</v>
      </c>
      <c r="B722" s="241">
        <v>33.6</v>
      </c>
      <c r="C722" s="242">
        <v>38.6</v>
      </c>
      <c r="D722" s="243">
        <v>46</v>
      </c>
      <c r="E722" s="241">
        <v>38</v>
      </c>
      <c r="F722" s="242">
        <v>43.7</v>
      </c>
      <c r="G722" s="243">
        <v>52.1</v>
      </c>
      <c r="H722" s="241">
        <v>45.2</v>
      </c>
      <c r="I722" s="242">
        <v>52</v>
      </c>
      <c r="J722" s="243">
        <v>61.9</v>
      </c>
      <c r="K722" s="241">
        <v>60.6</v>
      </c>
      <c r="L722" s="242">
        <v>69.7</v>
      </c>
      <c r="M722" s="243">
        <v>82.5</v>
      </c>
      <c r="N722" s="241">
        <v>102.2</v>
      </c>
      <c r="O722" s="242">
        <v>116.6</v>
      </c>
      <c r="P722" s="243">
        <v>135.5</v>
      </c>
      <c r="Z722" s="244">
        <f t="shared" si="34"/>
        <v>72.599999999999568</v>
      </c>
      <c r="AA722" s="376">
        <f t="shared" si="35"/>
        <v>1.633579528564278E-5</v>
      </c>
    </row>
    <row r="723" spans="1:27">
      <c r="A723" s="244">
        <f t="shared" si="33"/>
        <v>72.699999999999562</v>
      </c>
      <c r="B723" s="241">
        <v>33.1</v>
      </c>
      <c r="C723" s="242">
        <v>38.200000000000003</v>
      </c>
      <c r="D723" s="243">
        <v>45.6</v>
      </c>
      <c r="E723" s="241">
        <v>37.5</v>
      </c>
      <c r="F723" s="242">
        <v>43.2</v>
      </c>
      <c r="G723" s="243">
        <v>51.6</v>
      </c>
      <c r="H723" s="241">
        <v>44.6</v>
      </c>
      <c r="I723" s="242">
        <v>51.5</v>
      </c>
      <c r="J723" s="243">
        <v>61.3</v>
      </c>
      <c r="K723" s="241">
        <v>59.8</v>
      </c>
      <c r="L723" s="242">
        <v>68.900000000000006</v>
      </c>
      <c r="M723" s="243">
        <v>81.8</v>
      </c>
      <c r="N723" s="241">
        <v>101</v>
      </c>
      <c r="O723" s="242">
        <v>115.5</v>
      </c>
      <c r="P723" s="243">
        <v>134.6</v>
      </c>
      <c r="Z723" s="244">
        <f t="shared" si="34"/>
        <v>72.699999999999562</v>
      </c>
      <c r="AA723" s="376">
        <f t="shared" si="35"/>
        <v>1.6274076734275171E-5</v>
      </c>
    </row>
    <row r="724" spans="1:27">
      <c r="A724" s="244">
        <f t="shared" si="33"/>
        <v>72.799999999999557</v>
      </c>
      <c r="B724" s="241">
        <v>32.700000000000003</v>
      </c>
      <c r="C724" s="242">
        <v>37.799999999999997</v>
      </c>
      <c r="D724" s="243">
        <v>45.2</v>
      </c>
      <c r="E724" s="241">
        <v>37</v>
      </c>
      <c r="F724" s="242">
        <v>42.8</v>
      </c>
      <c r="G724" s="243">
        <v>51.2</v>
      </c>
      <c r="H724" s="241">
        <v>44</v>
      </c>
      <c r="I724" s="242">
        <v>50.9</v>
      </c>
      <c r="J724" s="243">
        <v>60.8</v>
      </c>
      <c r="K724" s="241">
        <v>59</v>
      </c>
      <c r="L724" s="242">
        <v>68.2</v>
      </c>
      <c r="M724" s="243">
        <v>81.099999999999994</v>
      </c>
      <c r="N724" s="241">
        <v>99.8</v>
      </c>
      <c r="O724" s="242">
        <v>114.4</v>
      </c>
      <c r="P724" s="243">
        <v>133.6</v>
      </c>
      <c r="Z724" s="244">
        <f t="shared" si="34"/>
        <v>72.799999999999557</v>
      </c>
      <c r="AA724" s="376">
        <f t="shared" si="35"/>
        <v>1.6212675719199883E-5</v>
      </c>
    </row>
    <row r="725" spans="1:27">
      <c r="A725" s="244">
        <f t="shared" si="33"/>
        <v>72.899999999999551</v>
      </c>
      <c r="B725" s="241">
        <v>32.299999999999997</v>
      </c>
      <c r="C725" s="242">
        <v>37.4</v>
      </c>
      <c r="D725" s="243">
        <v>44.8</v>
      </c>
      <c r="E725" s="241">
        <v>36.5</v>
      </c>
      <c r="F725" s="242">
        <v>42.3</v>
      </c>
      <c r="G725" s="243">
        <v>50.7</v>
      </c>
      <c r="H725" s="241">
        <v>43.4</v>
      </c>
      <c r="I725" s="242">
        <v>50.4</v>
      </c>
      <c r="J725" s="243">
        <v>60.3</v>
      </c>
      <c r="K725" s="241">
        <v>58.3</v>
      </c>
      <c r="L725" s="242">
        <v>67.5</v>
      </c>
      <c r="M725" s="243">
        <v>80.5</v>
      </c>
      <c r="N725" s="241">
        <v>98.7</v>
      </c>
      <c r="O725" s="242">
        <v>113.4</v>
      </c>
      <c r="P725" s="243">
        <v>132.69999999999999</v>
      </c>
      <c r="Z725" s="244">
        <f t="shared" si="34"/>
        <v>72.899999999999551</v>
      </c>
      <c r="AA725" s="376">
        <f t="shared" si="35"/>
        <v>1.6151590173905523E-5</v>
      </c>
    </row>
    <row r="726" spans="1:27">
      <c r="A726" s="244">
        <f t="shared" si="33"/>
        <v>72.999999999999545</v>
      </c>
      <c r="B726" s="241">
        <v>31.8</v>
      </c>
      <c r="C726" s="242">
        <v>37</v>
      </c>
      <c r="D726" s="243">
        <v>44.5</v>
      </c>
      <c r="E726" s="241">
        <v>36</v>
      </c>
      <c r="F726" s="242">
        <v>41.9</v>
      </c>
      <c r="G726" s="243">
        <v>50.3</v>
      </c>
      <c r="H726" s="241">
        <v>42.9</v>
      </c>
      <c r="I726" s="242">
        <v>49.8</v>
      </c>
      <c r="J726" s="243">
        <v>59.8</v>
      </c>
      <c r="K726" s="241">
        <v>57.6</v>
      </c>
      <c r="L726" s="242">
        <v>66.8</v>
      </c>
      <c r="M726" s="243">
        <v>79.8</v>
      </c>
      <c r="N726" s="241">
        <v>97.6</v>
      </c>
      <c r="O726" s="242">
        <v>112.3</v>
      </c>
      <c r="P726" s="243">
        <v>131.80000000000001</v>
      </c>
      <c r="Z726" s="244">
        <f t="shared" si="34"/>
        <v>72.999999999999545</v>
      </c>
      <c r="AA726" s="376">
        <f t="shared" si="35"/>
        <v>1.6090818048138496E-5</v>
      </c>
    </row>
    <row r="727" spans="1:27">
      <c r="A727" s="244">
        <f t="shared" si="33"/>
        <v>73.09999999999954</v>
      </c>
      <c r="B727" s="241">
        <v>31.4</v>
      </c>
      <c r="C727" s="242">
        <v>36.6</v>
      </c>
      <c r="D727" s="243">
        <v>44.1</v>
      </c>
      <c r="E727" s="241">
        <v>35.6</v>
      </c>
      <c r="F727" s="242">
        <v>41.4</v>
      </c>
      <c r="G727" s="243">
        <v>49.9</v>
      </c>
      <c r="H727" s="241">
        <v>42.3</v>
      </c>
      <c r="I727" s="242">
        <v>49.3</v>
      </c>
      <c r="J727" s="243">
        <v>59.3</v>
      </c>
      <c r="K727" s="241">
        <v>56.9</v>
      </c>
      <c r="L727" s="242">
        <v>66.099999999999994</v>
      </c>
      <c r="M727" s="243">
        <v>79.2</v>
      </c>
      <c r="N727" s="241">
        <v>96.5</v>
      </c>
      <c r="O727" s="242">
        <v>111.3</v>
      </c>
      <c r="P727" s="243">
        <v>130.9</v>
      </c>
      <c r="Z727" s="244">
        <f t="shared" si="34"/>
        <v>73.09999999999954</v>
      </c>
      <c r="AA727" s="376">
        <f t="shared" si="35"/>
        <v>1.6030357307753057E-5</v>
      </c>
    </row>
    <row r="728" spans="1:27">
      <c r="A728" s="244">
        <f t="shared" si="33"/>
        <v>73.199999999999534</v>
      </c>
      <c r="B728" s="241">
        <v>31</v>
      </c>
      <c r="C728" s="242">
        <v>36.200000000000003</v>
      </c>
      <c r="D728" s="243">
        <v>43.7</v>
      </c>
      <c r="E728" s="241">
        <v>35.1</v>
      </c>
      <c r="F728" s="242">
        <v>41</v>
      </c>
      <c r="G728" s="243">
        <v>49.5</v>
      </c>
      <c r="H728" s="241">
        <v>41.8</v>
      </c>
      <c r="I728" s="242">
        <v>48.8</v>
      </c>
      <c r="J728" s="243">
        <v>58.9</v>
      </c>
      <c r="K728" s="241">
        <v>56.2</v>
      </c>
      <c r="L728" s="242">
        <v>65.5</v>
      </c>
      <c r="M728" s="243">
        <v>78.599999999999994</v>
      </c>
      <c r="N728" s="241">
        <v>95.4</v>
      </c>
      <c r="O728" s="242">
        <v>110.3</v>
      </c>
      <c r="P728" s="243">
        <v>130.1</v>
      </c>
      <c r="Z728" s="244">
        <f t="shared" si="34"/>
        <v>73.199999999999534</v>
      </c>
      <c r="AA728" s="376">
        <f t="shared" si="35"/>
        <v>1.5970205934562952E-5</v>
      </c>
    </row>
    <row r="729" spans="1:27">
      <c r="A729" s="244">
        <f t="shared" si="33"/>
        <v>73.299999999999528</v>
      </c>
      <c r="B729" s="241">
        <v>30.7</v>
      </c>
      <c r="C729" s="242">
        <v>35.9</v>
      </c>
      <c r="D729" s="243">
        <v>43.4</v>
      </c>
      <c r="E729" s="241">
        <v>34.700000000000003</v>
      </c>
      <c r="F729" s="242">
        <v>40.6</v>
      </c>
      <c r="G729" s="243">
        <v>49.1</v>
      </c>
      <c r="H729" s="241">
        <v>41.3</v>
      </c>
      <c r="I729" s="242">
        <v>48.3</v>
      </c>
      <c r="J729" s="243">
        <v>58.4</v>
      </c>
      <c r="K729" s="241">
        <v>55.5</v>
      </c>
      <c r="L729" s="242">
        <v>64.8</v>
      </c>
      <c r="M729" s="243">
        <v>78</v>
      </c>
      <c r="N729" s="241">
        <v>94.3</v>
      </c>
      <c r="O729" s="242">
        <v>109.4</v>
      </c>
      <c r="P729" s="243">
        <v>129.19999999999999</v>
      </c>
      <c r="Z729" s="244">
        <f t="shared" si="34"/>
        <v>73.299999999999528</v>
      </c>
      <c r="AA729" s="376">
        <f t="shared" si="35"/>
        <v>1.5910361926194647E-5</v>
      </c>
    </row>
    <row r="730" spans="1:27">
      <c r="A730" s="244">
        <f t="shared" si="33"/>
        <v>73.399999999999523</v>
      </c>
      <c r="B730" s="241">
        <v>30.3</v>
      </c>
      <c r="C730" s="242">
        <v>35.5</v>
      </c>
      <c r="D730" s="243">
        <v>43.1</v>
      </c>
      <c r="E730" s="241">
        <v>34.299999999999997</v>
      </c>
      <c r="F730" s="242">
        <v>40.200000000000003</v>
      </c>
      <c r="G730" s="243">
        <v>48.7</v>
      </c>
      <c r="H730" s="241">
        <v>40.799999999999997</v>
      </c>
      <c r="I730" s="242">
        <v>47.9</v>
      </c>
      <c r="J730" s="243">
        <v>58</v>
      </c>
      <c r="K730" s="241">
        <v>54.8</v>
      </c>
      <c r="L730" s="242">
        <v>64.2</v>
      </c>
      <c r="M730" s="243">
        <v>77.400000000000006</v>
      </c>
      <c r="N730" s="241">
        <v>93.3</v>
      </c>
      <c r="O730" s="242">
        <v>108.4</v>
      </c>
      <c r="P730" s="243">
        <v>128.4</v>
      </c>
      <c r="Z730" s="244">
        <f t="shared" si="34"/>
        <v>73.399999999999523</v>
      </c>
      <c r="AA730" s="376">
        <f t="shared" si="35"/>
        <v>1.5850823295942064E-5</v>
      </c>
    </row>
    <row r="731" spans="1:27">
      <c r="A731" s="244">
        <f t="shared" si="33"/>
        <v>73.499999999999517</v>
      </c>
      <c r="B731" s="241">
        <v>29.9</v>
      </c>
      <c r="C731" s="242">
        <v>35.200000000000003</v>
      </c>
      <c r="D731" s="243">
        <v>42.7</v>
      </c>
      <c r="E731" s="241">
        <v>33.9</v>
      </c>
      <c r="F731" s="242">
        <v>39.799999999999997</v>
      </c>
      <c r="G731" s="243">
        <v>48.4</v>
      </c>
      <c r="H731" s="241">
        <v>40.299999999999997</v>
      </c>
      <c r="I731" s="242">
        <v>47.4</v>
      </c>
      <c r="J731" s="243">
        <v>57.5</v>
      </c>
      <c r="K731" s="241">
        <v>54.2</v>
      </c>
      <c r="L731" s="242">
        <v>63.6</v>
      </c>
      <c r="M731" s="243">
        <v>76.900000000000006</v>
      </c>
      <c r="N731" s="241">
        <v>92.3</v>
      </c>
      <c r="O731" s="242">
        <v>107.5</v>
      </c>
      <c r="P731" s="243">
        <v>127.6</v>
      </c>
      <c r="Z731" s="244">
        <f t="shared" si="34"/>
        <v>73.499999999999517</v>
      </c>
      <c r="AA731" s="376">
        <f t="shared" si="35"/>
        <v>1.5791588072622864E-5</v>
      </c>
    </row>
    <row r="732" spans="1:27">
      <c r="A732" s="244">
        <f t="shared" si="33"/>
        <v>73.599999999999511</v>
      </c>
      <c r="B732" s="241">
        <v>29.6</v>
      </c>
      <c r="C732" s="242">
        <v>34.799999999999997</v>
      </c>
      <c r="D732" s="243">
        <v>42.4</v>
      </c>
      <c r="E732" s="241">
        <v>33.5</v>
      </c>
      <c r="F732" s="242">
        <v>39.4</v>
      </c>
      <c r="G732" s="243">
        <v>48</v>
      </c>
      <c r="H732" s="241">
        <v>39.799999999999997</v>
      </c>
      <c r="I732" s="242">
        <v>46.9</v>
      </c>
      <c r="J732" s="243">
        <v>57.1</v>
      </c>
      <c r="K732" s="241">
        <v>53.5</v>
      </c>
      <c r="L732" s="242">
        <v>63</v>
      </c>
      <c r="M732" s="243">
        <v>76.3</v>
      </c>
      <c r="N732" s="241">
        <v>91.3</v>
      </c>
      <c r="O732" s="242">
        <v>106.6</v>
      </c>
      <c r="P732" s="243">
        <v>126.8</v>
      </c>
      <c r="Z732" s="244">
        <f t="shared" si="34"/>
        <v>73.599999999999511</v>
      </c>
      <c r="AA732" s="376">
        <f t="shared" si="35"/>
        <v>1.5732654300436281E-5</v>
      </c>
    </row>
    <row r="733" spans="1:27">
      <c r="A733" s="244">
        <f t="shared" si="33"/>
        <v>73.699999999999505</v>
      </c>
      <c r="B733" s="241">
        <v>29.2</v>
      </c>
      <c r="C733" s="242">
        <v>34.5</v>
      </c>
      <c r="D733" s="243">
        <v>42.1</v>
      </c>
      <c r="E733" s="241">
        <v>33.1</v>
      </c>
      <c r="F733" s="242">
        <v>39</v>
      </c>
      <c r="G733" s="243">
        <v>47.7</v>
      </c>
      <c r="H733" s="241">
        <v>39.4</v>
      </c>
      <c r="I733" s="242">
        <v>46.5</v>
      </c>
      <c r="J733" s="243">
        <v>56.7</v>
      </c>
      <c r="K733" s="241">
        <v>52.9</v>
      </c>
      <c r="L733" s="242">
        <v>62.4</v>
      </c>
      <c r="M733" s="243">
        <v>75.8</v>
      </c>
      <c r="N733" s="241">
        <v>90.3</v>
      </c>
      <c r="O733" s="242">
        <v>105.7</v>
      </c>
      <c r="P733" s="243">
        <v>126.1</v>
      </c>
      <c r="Z733" s="244">
        <f t="shared" si="34"/>
        <v>73.699999999999505</v>
      </c>
      <c r="AA733" s="376">
        <f t="shared" si="35"/>
        <v>1.5674020038822353E-5</v>
      </c>
    </row>
    <row r="734" spans="1:27">
      <c r="A734" s="244">
        <f t="shared" si="33"/>
        <v>73.7999999999995</v>
      </c>
      <c r="B734" s="241">
        <v>28.9</v>
      </c>
      <c r="C734" s="242">
        <v>34.200000000000003</v>
      </c>
      <c r="D734" s="243">
        <v>41.8</v>
      </c>
      <c r="E734" s="241">
        <v>32.700000000000003</v>
      </c>
      <c r="F734" s="242">
        <v>38.700000000000003</v>
      </c>
      <c r="G734" s="243">
        <v>47.3</v>
      </c>
      <c r="H734" s="241">
        <v>38.9</v>
      </c>
      <c r="I734" s="242">
        <v>46.1</v>
      </c>
      <c r="J734" s="243">
        <v>56.3</v>
      </c>
      <c r="K734" s="241">
        <v>52.3</v>
      </c>
      <c r="L734" s="242">
        <v>61.9</v>
      </c>
      <c r="M734" s="243">
        <v>75.3</v>
      </c>
      <c r="N734" s="241">
        <v>89.4</v>
      </c>
      <c r="O734" s="242">
        <v>104.9</v>
      </c>
      <c r="P734" s="243">
        <v>125.3</v>
      </c>
      <c r="Z734" s="244">
        <f t="shared" si="34"/>
        <v>73.7999999999995</v>
      </c>
      <c r="AA734" s="376">
        <f t="shared" si="35"/>
        <v>1.5615683362322765E-5</v>
      </c>
    </row>
    <row r="735" spans="1:27">
      <c r="A735" s="244">
        <f t="shared" si="33"/>
        <v>73.899999999999494</v>
      </c>
      <c r="B735" s="241">
        <v>28.5</v>
      </c>
      <c r="C735" s="242">
        <v>33.799999999999997</v>
      </c>
      <c r="D735" s="243">
        <v>41.5</v>
      </c>
      <c r="E735" s="241">
        <v>32.299999999999997</v>
      </c>
      <c r="F735" s="242">
        <v>38.299999999999997</v>
      </c>
      <c r="G735" s="243">
        <v>47</v>
      </c>
      <c r="H735" s="241">
        <v>38.4</v>
      </c>
      <c r="I735" s="242">
        <v>45.7</v>
      </c>
      <c r="J735" s="243">
        <v>55.9</v>
      </c>
      <c r="K735" s="241">
        <v>51.7</v>
      </c>
      <c r="L735" s="242">
        <v>61.3</v>
      </c>
      <c r="M735" s="243">
        <v>74.8</v>
      </c>
      <c r="N735" s="241">
        <v>88.4</v>
      </c>
      <c r="O735" s="242">
        <v>104</v>
      </c>
      <c r="P735" s="243">
        <v>124.6</v>
      </c>
      <c r="Z735" s="244">
        <f t="shared" si="34"/>
        <v>73.899999999999494</v>
      </c>
      <c r="AA735" s="376">
        <f t="shared" si="35"/>
        <v>1.5557642360443002E-5</v>
      </c>
    </row>
    <row r="736" spans="1:27">
      <c r="A736" s="244">
        <f t="shared" si="33"/>
        <v>73.999999999999488</v>
      </c>
      <c r="B736" s="241">
        <v>28.2</v>
      </c>
      <c r="C736" s="242">
        <v>33.5</v>
      </c>
      <c r="D736" s="243">
        <v>41.2</v>
      </c>
      <c r="E736" s="241">
        <v>31.9</v>
      </c>
      <c r="F736" s="242">
        <v>38</v>
      </c>
      <c r="G736" s="243">
        <v>46.7</v>
      </c>
      <c r="H736" s="241">
        <v>38</v>
      </c>
      <c r="I736" s="242">
        <v>45.2</v>
      </c>
      <c r="J736" s="243">
        <v>55.5</v>
      </c>
      <c r="K736" s="241">
        <v>51.1</v>
      </c>
      <c r="L736" s="242">
        <v>60.8</v>
      </c>
      <c r="M736" s="243">
        <v>74.3</v>
      </c>
      <c r="N736" s="241">
        <v>87.5</v>
      </c>
      <c r="O736" s="242">
        <v>103.2</v>
      </c>
      <c r="P736" s="243">
        <v>123.9</v>
      </c>
      <c r="Z736" s="244">
        <f t="shared" si="34"/>
        <v>73.999999999999488</v>
      </c>
      <c r="AA736" s="376">
        <f t="shared" si="35"/>
        <v>1.549989513751606E-5</v>
      </c>
    </row>
    <row r="737" spans="1:27">
      <c r="A737" s="244">
        <f t="shared" si="33"/>
        <v>74.099999999999483</v>
      </c>
      <c r="B737" s="241">
        <v>27.9</v>
      </c>
      <c r="C737" s="242">
        <v>33.200000000000003</v>
      </c>
      <c r="D737" s="243">
        <v>40.9</v>
      </c>
      <c r="E737" s="241">
        <v>31.6</v>
      </c>
      <c r="F737" s="242">
        <v>37.6</v>
      </c>
      <c r="G737" s="243">
        <v>46.4</v>
      </c>
      <c r="H737" s="241">
        <v>37.6</v>
      </c>
      <c r="I737" s="242">
        <v>44.8</v>
      </c>
      <c r="J737" s="243">
        <v>55.2</v>
      </c>
      <c r="K737" s="241">
        <v>50.5</v>
      </c>
      <c r="L737" s="242">
        <v>60.3</v>
      </c>
      <c r="M737" s="243">
        <v>73.8</v>
      </c>
      <c r="N737" s="241">
        <v>86.6</v>
      </c>
      <c r="O737" s="242">
        <v>102.4</v>
      </c>
      <c r="P737" s="243">
        <v>123.2</v>
      </c>
      <c r="Z737" s="244">
        <f t="shared" si="34"/>
        <v>74.099999999999483</v>
      </c>
      <c r="AA737" s="376">
        <f t="shared" si="35"/>
        <v>1.5442439812567525E-5</v>
      </c>
    </row>
    <row r="738" spans="1:27">
      <c r="A738" s="244">
        <f t="shared" si="33"/>
        <v>74.199999999999477</v>
      </c>
      <c r="B738" s="241">
        <v>27.6</v>
      </c>
      <c r="C738" s="242">
        <v>33</v>
      </c>
      <c r="D738" s="243">
        <v>40.700000000000003</v>
      </c>
      <c r="E738" s="241">
        <v>31.2</v>
      </c>
      <c r="F738" s="242">
        <v>37.299999999999997</v>
      </c>
      <c r="G738" s="243">
        <v>46.1</v>
      </c>
      <c r="H738" s="241">
        <v>37.200000000000003</v>
      </c>
      <c r="I738" s="242">
        <v>44.4</v>
      </c>
      <c r="J738" s="243">
        <v>54.8</v>
      </c>
      <c r="K738" s="241">
        <v>50</v>
      </c>
      <c r="L738" s="242">
        <v>59.7</v>
      </c>
      <c r="M738" s="243">
        <v>73.400000000000006</v>
      </c>
      <c r="N738" s="241">
        <v>85.7</v>
      </c>
      <c r="O738" s="242">
        <v>101.6</v>
      </c>
      <c r="P738" s="243">
        <v>122.5</v>
      </c>
      <c r="Z738" s="244">
        <f t="shared" si="34"/>
        <v>74.199999999999477</v>
      </c>
      <c r="AA738" s="376">
        <f t="shared" si="35"/>
        <v>1.5385274519182081E-5</v>
      </c>
    </row>
    <row r="739" spans="1:27">
      <c r="A739" s="244">
        <f t="shared" si="33"/>
        <v>74.299999999999471</v>
      </c>
      <c r="B739" s="241">
        <v>27.3</v>
      </c>
      <c r="C739" s="242">
        <v>32.700000000000003</v>
      </c>
      <c r="D739" s="243">
        <v>40.4</v>
      </c>
      <c r="E739" s="241">
        <v>30.9</v>
      </c>
      <c r="F739" s="242">
        <v>37</v>
      </c>
      <c r="G739" s="243">
        <v>45.8</v>
      </c>
      <c r="H739" s="241">
        <v>36.700000000000003</v>
      </c>
      <c r="I739" s="242">
        <v>44.1</v>
      </c>
      <c r="J739" s="243">
        <v>54.5</v>
      </c>
      <c r="K739" s="241">
        <v>49.4</v>
      </c>
      <c r="L739" s="242">
        <v>59.2</v>
      </c>
      <c r="M739" s="243">
        <v>72.900000000000006</v>
      </c>
      <c r="N739" s="241">
        <v>84.8</v>
      </c>
      <c r="O739" s="242">
        <v>100.8</v>
      </c>
      <c r="P739" s="243">
        <v>121.8</v>
      </c>
      <c r="Z739" s="244">
        <f t="shared" si="34"/>
        <v>74.299999999999471</v>
      </c>
      <c r="AA739" s="376">
        <f t="shared" si="35"/>
        <v>1.5328397405371377E-5</v>
      </c>
    </row>
    <row r="740" spans="1:27">
      <c r="A740" s="244">
        <f t="shared" si="33"/>
        <v>74.399999999999466</v>
      </c>
      <c r="B740" s="241">
        <v>27</v>
      </c>
      <c r="C740" s="242">
        <v>32.4</v>
      </c>
      <c r="D740" s="243">
        <v>40.200000000000003</v>
      </c>
      <c r="E740" s="241">
        <v>30.5</v>
      </c>
      <c r="F740" s="242">
        <v>36.700000000000003</v>
      </c>
      <c r="G740" s="243">
        <v>45.5</v>
      </c>
      <c r="H740" s="241">
        <v>36.299999999999997</v>
      </c>
      <c r="I740" s="242">
        <v>43.7</v>
      </c>
      <c r="J740" s="243">
        <v>54.1</v>
      </c>
      <c r="K740" s="241">
        <v>48.9</v>
      </c>
      <c r="L740" s="242">
        <v>58.7</v>
      </c>
      <c r="M740" s="243">
        <v>72.5</v>
      </c>
      <c r="N740" s="241">
        <v>84</v>
      </c>
      <c r="O740" s="242">
        <v>100.1</v>
      </c>
      <c r="P740" s="243">
        <v>121.2</v>
      </c>
      <c r="Z740" s="244">
        <f t="shared" si="34"/>
        <v>74.399999999999466</v>
      </c>
      <c r="AA740" s="376">
        <f t="shared" si="35"/>
        <v>1.5271806633443305E-5</v>
      </c>
    </row>
    <row r="741" spans="1:27">
      <c r="A741" s="244">
        <f t="shared" si="33"/>
        <v>74.49999999999946</v>
      </c>
      <c r="B741" s="241">
        <v>26.7</v>
      </c>
      <c r="C741" s="242">
        <v>32.1</v>
      </c>
      <c r="D741" s="243">
        <v>39.9</v>
      </c>
      <c r="E741" s="241">
        <v>30.2</v>
      </c>
      <c r="F741" s="242">
        <v>36.4</v>
      </c>
      <c r="G741" s="243">
        <v>45.2</v>
      </c>
      <c r="H741" s="241">
        <v>35.9</v>
      </c>
      <c r="I741" s="242">
        <v>43.3</v>
      </c>
      <c r="J741" s="243">
        <v>53.8</v>
      </c>
      <c r="K741" s="241">
        <v>48.4</v>
      </c>
      <c r="L741" s="242">
        <v>58.3</v>
      </c>
      <c r="M741" s="243">
        <v>72</v>
      </c>
      <c r="N741" s="241">
        <v>83.1</v>
      </c>
      <c r="O741" s="242">
        <v>99.3</v>
      </c>
      <c r="P741" s="243">
        <v>120.6</v>
      </c>
      <c r="Z741" s="244">
        <f t="shared" si="34"/>
        <v>74.49999999999946</v>
      </c>
      <c r="AA741" s="376">
        <f t="shared" si="35"/>
        <v>1.5215500379872635E-5</v>
      </c>
    </row>
    <row r="742" spans="1:27">
      <c r="A742" s="244">
        <f t="shared" si="33"/>
        <v>74.599999999999454</v>
      </c>
      <c r="B742" s="241">
        <v>26.4</v>
      </c>
      <c r="C742" s="242">
        <v>31.9</v>
      </c>
      <c r="D742" s="243">
        <v>39.700000000000003</v>
      </c>
      <c r="E742" s="241">
        <v>29.9</v>
      </c>
      <c r="F742" s="242">
        <v>36.1</v>
      </c>
      <c r="G742" s="243">
        <v>44.9</v>
      </c>
      <c r="H742" s="241">
        <v>35.6</v>
      </c>
      <c r="I742" s="242">
        <v>43</v>
      </c>
      <c r="J742" s="243">
        <v>53.5</v>
      </c>
      <c r="K742" s="241">
        <v>47.8</v>
      </c>
      <c r="L742" s="242">
        <v>57.8</v>
      </c>
      <c r="M742" s="243">
        <v>71.599999999999994</v>
      </c>
      <c r="N742" s="241">
        <v>82.3</v>
      </c>
      <c r="O742" s="242">
        <v>98.6</v>
      </c>
      <c r="P742" s="243">
        <v>119.9</v>
      </c>
      <c r="Z742" s="244">
        <f t="shared" si="34"/>
        <v>74.599999999999454</v>
      </c>
      <c r="AA742" s="376">
        <f t="shared" si="35"/>
        <v>1.5159476835172967E-5</v>
      </c>
    </row>
    <row r="743" spans="1:27">
      <c r="A743" s="244">
        <f t="shared" si="33"/>
        <v>74.699999999999449</v>
      </c>
      <c r="B743" s="241">
        <v>26.1</v>
      </c>
      <c r="C743" s="242">
        <v>31.6</v>
      </c>
      <c r="D743" s="243">
        <v>39.4</v>
      </c>
      <c r="E743" s="241">
        <v>29.6</v>
      </c>
      <c r="F743" s="242">
        <v>35.799999999999997</v>
      </c>
      <c r="G743" s="243">
        <v>44.6</v>
      </c>
      <c r="H743" s="241">
        <v>35.200000000000003</v>
      </c>
      <c r="I743" s="242">
        <v>42.6</v>
      </c>
      <c r="J743" s="243">
        <v>53.2</v>
      </c>
      <c r="K743" s="241">
        <v>47.3</v>
      </c>
      <c r="L743" s="242">
        <v>57.3</v>
      </c>
      <c r="M743" s="243">
        <v>71.2</v>
      </c>
      <c r="N743" s="241">
        <v>81.5</v>
      </c>
      <c r="O743" s="242">
        <v>97.9</v>
      </c>
      <c r="P743" s="243">
        <v>119.3</v>
      </c>
      <c r="Z743" s="244">
        <f t="shared" si="34"/>
        <v>74.699999999999449</v>
      </c>
      <c r="AA743" s="376">
        <f t="shared" si="35"/>
        <v>1.510373420377E-5</v>
      </c>
    </row>
    <row r="744" spans="1:27">
      <c r="A744" s="244">
        <f t="shared" si="33"/>
        <v>74.799999999999443</v>
      </c>
      <c r="B744" s="241">
        <v>25.9</v>
      </c>
      <c r="C744" s="242">
        <v>31.3</v>
      </c>
      <c r="D744" s="243">
        <v>39.200000000000003</v>
      </c>
      <c r="E744" s="241">
        <v>29.2</v>
      </c>
      <c r="F744" s="242">
        <v>35.5</v>
      </c>
      <c r="G744" s="243">
        <v>44.4</v>
      </c>
      <c r="H744" s="241">
        <v>34.799999999999997</v>
      </c>
      <c r="I744" s="242">
        <v>42.3</v>
      </c>
      <c r="J744" s="243">
        <v>52.8</v>
      </c>
      <c r="K744" s="241">
        <v>46.9</v>
      </c>
      <c r="L744" s="242">
        <v>56.9</v>
      </c>
      <c r="M744" s="243">
        <v>70.8</v>
      </c>
      <c r="N744" s="241">
        <v>80.7</v>
      </c>
      <c r="O744" s="242">
        <v>97.2</v>
      </c>
      <c r="P744" s="243">
        <v>118.7</v>
      </c>
      <c r="Z744" s="244">
        <f t="shared" si="34"/>
        <v>74.799999999999443</v>
      </c>
      <c r="AA744" s="376">
        <f t="shared" si="35"/>
        <v>1.5048270703876194E-5</v>
      </c>
    </row>
    <row r="745" spans="1:27">
      <c r="A745" s="244">
        <f t="shared" si="33"/>
        <v>74.899999999999437</v>
      </c>
      <c r="B745" s="241">
        <v>25.6</v>
      </c>
      <c r="C745" s="242">
        <v>31.1</v>
      </c>
      <c r="D745" s="243">
        <v>39</v>
      </c>
      <c r="E745" s="241">
        <v>28.9</v>
      </c>
      <c r="F745" s="242">
        <v>35.200000000000003</v>
      </c>
      <c r="G745" s="243">
        <v>44.1</v>
      </c>
      <c r="H745" s="241">
        <v>34.4</v>
      </c>
      <c r="I745" s="242">
        <v>41.9</v>
      </c>
      <c r="J745" s="243">
        <v>52.5</v>
      </c>
      <c r="K745" s="241">
        <v>46.4</v>
      </c>
      <c r="L745" s="242">
        <v>56.4</v>
      </c>
      <c r="M745" s="243">
        <v>70.400000000000006</v>
      </c>
      <c r="N745" s="241">
        <v>79.900000000000006</v>
      </c>
      <c r="O745" s="242">
        <v>96.5</v>
      </c>
      <c r="P745" s="243">
        <v>118.2</v>
      </c>
      <c r="Z745" s="244">
        <f t="shared" si="34"/>
        <v>74.899999999999437</v>
      </c>
      <c r="AA745" s="376">
        <f t="shared" si="35"/>
        <v>1.4993084567366599E-5</v>
      </c>
    </row>
    <row r="746" spans="1:27">
      <c r="A746" s="244">
        <f t="shared" si="33"/>
        <v>74.999999999999432</v>
      </c>
      <c r="B746" s="241">
        <v>25.3</v>
      </c>
      <c r="C746" s="242">
        <v>30.9</v>
      </c>
      <c r="D746" s="243">
        <v>38.700000000000003</v>
      </c>
      <c r="E746" s="241">
        <v>28.6</v>
      </c>
      <c r="F746" s="242">
        <v>34.9</v>
      </c>
      <c r="G746" s="243">
        <v>43.9</v>
      </c>
      <c r="H746" s="241">
        <v>34.1</v>
      </c>
      <c r="I746" s="242">
        <v>41.6</v>
      </c>
      <c r="J746" s="243">
        <v>52.3</v>
      </c>
      <c r="K746" s="241">
        <v>45.9</v>
      </c>
      <c r="L746" s="242">
        <v>56</v>
      </c>
      <c r="M746" s="243">
        <v>70</v>
      </c>
      <c r="N746" s="241">
        <v>79.2</v>
      </c>
      <c r="O746" s="242">
        <v>95.8</v>
      </c>
      <c r="P746" s="243">
        <v>117.6</v>
      </c>
      <c r="Z746" s="244">
        <f t="shared" si="34"/>
        <v>74.999999999999432</v>
      </c>
      <c r="AA746" s="376">
        <f t="shared" si="35"/>
        <v>1.49381740396561E-5</v>
      </c>
    </row>
    <row r="747" spans="1:27">
      <c r="A747" s="244">
        <f t="shared" si="33"/>
        <v>75.099999999999426</v>
      </c>
      <c r="B747" s="241">
        <v>25.1</v>
      </c>
      <c r="C747" s="242">
        <v>30.6</v>
      </c>
      <c r="D747" s="243">
        <v>38.5</v>
      </c>
      <c r="E747" s="241">
        <v>28.4</v>
      </c>
      <c r="F747" s="242">
        <v>34.700000000000003</v>
      </c>
      <c r="G747" s="243">
        <v>43.6</v>
      </c>
      <c r="H747" s="241">
        <v>33.700000000000003</v>
      </c>
      <c r="I747" s="242">
        <v>41.3</v>
      </c>
      <c r="J747" s="243">
        <v>52</v>
      </c>
      <c r="K747" s="241">
        <v>45.4</v>
      </c>
      <c r="L747" s="242">
        <v>55.6</v>
      </c>
      <c r="M747" s="243">
        <v>69.7</v>
      </c>
      <c r="N747" s="241">
        <v>78.400000000000006</v>
      </c>
      <c r="O747" s="242">
        <v>95.2</v>
      </c>
      <c r="P747" s="243">
        <v>117.1</v>
      </c>
      <c r="Z747" s="244">
        <f t="shared" si="34"/>
        <v>75.099999999999426</v>
      </c>
      <c r="AA747" s="376">
        <f t="shared" si="35"/>
        <v>1.4883537379577805E-5</v>
      </c>
    </row>
    <row r="748" spans="1:27">
      <c r="A748" s="244">
        <f t="shared" si="33"/>
        <v>75.19999999999942</v>
      </c>
      <c r="B748" s="241">
        <v>24.8</v>
      </c>
      <c r="C748" s="242">
        <v>30.4</v>
      </c>
      <c r="D748" s="243">
        <v>38.299999999999997</v>
      </c>
      <c r="E748" s="241">
        <v>28.1</v>
      </c>
      <c r="F748" s="242">
        <v>34.4</v>
      </c>
      <c r="G748" s="243">
        <v>43.4</v>
      </c>
      <c r="H748" s="241">
        <v>33.4</v>
      </c>
      <c r="I748" s="242">
        <v>41</v>
      </c>
      <c r="J748" s="243">
        <v>51.7</v>
      </c>
      <c r="K748" s="241">
        <v>45</v>
      </c>
      <c r="L748" s="242">
        <v>55.2</v>
      </c>
      <c r="M748" s="243">
        <v>69.3</v>
      </c>
      <c r="N748" s="241">
        <v>77.7</v>
      </c>
      <c r="O748" s="242">
        <v>94.5</v>
      </c>
      <c r="P748" s="243">
        <v>116.5</v>
      </c>
      <c r="Z748" s="244">
        <f t="shared" si="34"/>
        <v>75.19999999999942</v>
      </c>
      <c r="AA748" s="376">
        <f t="shared" si="35"/>
        <v>1.4829172859262787E-5</v>
      </c>
    </row>
    <row r="749" spans="1:27">
      <c r="A749" s="244">
        <f t="shared" si="33"/>
        <v>75.299999999999415</v>
      </c>
      <c r="B749" s="241">
        <v>24.6</v>
      </c>
      <c r="C749" s="242">
        <v>30.2</v>
      </c>
      <c r="D749" s="243">
        <v>38.1</v>
      </c>
      <c r="E749" s="241">
        <v>27.8</v>
      </c>
      <c r="F749" s="242">
        <v>34.200000000000003</v>
      </c>
      <c r="G749" s="243">
        <v>43.2</v>
      </c>
      <c r="H749" s="241">
        <v>33.1</v>
      </c>
      <c r="I749" s="242">
        <v>40.700000000000003</v>
      </c>
      <c r="J749" s="243">
        <v>51.4</v>
      </c>
      <c r="K749" s="241">
        <v>44.5</v>
      </c>
      <c r="L749" s="242">
        <v>54.8</v>
      </c>
      <c r="M749" s="243">
        <v>68.900000000000006</v>
      </c>
      <c r="N749" s="241">
        <v>76.900000000000006</v>
      </c>
      <c r="O749" s="242">
        <v>93.9</v>
      </c>
      <c r="P749" s="243">
        <v>116</v>
      </c>
      <c r="Z749" s="244">
        <f t="shared" si="34"/>
        <v>75.299999999999415</v>
      </c>
      <c r="AA749" s="376">
        <f t="shared" si="35"/>
        <v>1.4775078764020996E-5</v>
      </c>
    </row>
    <row r="750" spans="1:27">
      <c r="A750" s="244">
        <f t="shared" si="33"/>
        <v>75.399999999999409</v>
      </c>
      <c r="B750" s="241">
        <v>24.3</v>
      </c>
      <c r="C750" s="242">
        <v>29.9</v>
      </c>
      <c r="D750" s="243">
        <v>37.9</v>
      </c>
      <c r="E750" s="241">
        <v>27.5</v>
      </c>
      <c r="F750" s="242">
        <v>33.9</v>
      </c>
      <c r="G750" s="243">
        <v>43</v>
      </c>
      <c r="H750" s="241">
        <v>32.700000000000003</v>
      </c>
      <c r="I750" s="242">
        <v>40.4</v>
      </c>
      <c r="J750" s="243">
        <v>51.2</v>
      </c>
      <c r="K750" s="241">
        <v>44.1</v>
      </c>
      <c r="L750" s="242">
        <v>54.4</v>
      </c>
      <c r="M750" s="243">
        <v>68.599999999999994</v>
      </c>
      <c r="N750" s="241">
        <v>76.2</v>
      </c>
      <c r="O750" s="242">
        <v>93.3</v>
      </c>
      <c r="P750" s="243">
        <v>115.5</v>
      </c>
      <c r="Z750" s="244">
        <f t="shared" si="34"/>
        <v>75.399999999999409</v>
      </c>
      <c r="AA750" s="376">
        <f t="shared" si="35"/>
        <v>1.4721253392223416E-5</v>
      </c>
    </row>
    <row r="751" spans="1:27">
      <c r="A751" s="244">
        <f t="shared" si="33"/>
        <v>75.499999999999403</v>
      </c>
      <c r="B751" s="241">
        <v>24.1</v>
      </c>
      <c r="C751" s="242">
        <v>29.7</v>
      </c>
      <c r="D751" s="243">
        <v>37.700000000000003</v>
      </c>
      <c r="E751" s="241">
        <v>27.3</v>
      </c>
      <c r="F751" s="242">
        <v>33.700000000000003</v>
      </c>
      <c r="G751" s="243">
        <v>42.7</v>
      </c>
      <c r="H751" s="241">
        <v>32.4</v>
      </c>
      <c r="I751" s="242">
        <v>40.1</v>
      </c>
      <c r="J751" s="243">
        <v>50.9</v>
      </c>
      <c r="K751" s="241">
        <v>43.7</v>
      </c>
      <c r="L751" s="242">
        <v>54</v>
      </c>
      <c r="M751" s="243">
        <v>68.3</v>
      </c>
      <c r="N751" s="241">
        <v>75.5</v>
      </c>
      <c r="O751" s="242">
        <v>92.6</v>
      </c>
      <c r="P751" s="243">
        <v>115</v>
      </c>
      <c r="Z751" s="244">
        <f t="shared" si="34"/>
        <v>75.499999999999403</v>
      </c>
      <c r="AA751" s="376">
        <f t="shared" si="35"/>
        <v>1.4667695055185436E-5</v>
      </c>
    </row>
    <row r="752" spans="1:27">
      <c r="A752" s="244">
        <f t="shared" si="33"/>
        <v>75.599999999999397</v>
      </c>
      <c r="B752" s="241">
        <v>23.9</v>
      </c>
      <c r="C752" s="242">
        <v>29.5</v>
      </c>
      <c r="D752" s="243">
        <v>37.5</v>
      </c>
      <c r="E752" s="241">
        <v>27</v>
      </c>
      <c r="F752" s="242">
        <v>33.4</v>
      </c>
      <c r="G752" s="243">
        <v>42.5</v>
      </c>
      <c r="H752" s="241">
        <v>32.1</v>
      </c>
      <c r="I752" s="242">
        <v>39.799999999999997</v>
      </c>
      <c r="J752" s="243">
        <v>50.6</v>
      </c>
      <c r="K752" s="241">
        <v>43.2</v>
      </c>
      <c r="L752" s="242">
        <v>53.6</v>
      </c>
      <c r="M752" s="243">
        <v>67.900000000000006</v>
      </c>
      <c r="N752" s="241">
        <v>74.8</v>
      </c>
      <c r="O752" s="242">
        <v>92.1</v>
      </c>
      <c r="P752" s="243">
        <v>114.5</v>
      </c>
      <c r="Z752" s="244">
        <f t="shared" si="34"/>
        <v>75.599999999999397</v>
      </c>
      <c r="AA752" s="376">
        <f t="shared" si="35"/>
        <v>1.461440207705141E-5</v>
      </c>
    </row>
    <row r="753" spans="1:27">
      <c r="A753" s="244">
        <f t="shared" si="33"/>
        <v>75.699999999999392</v>
      </c>
      <c r="B753" s="241">
        <v>23.7</v>
      </c>
      <c r="C753" s="242">
        <v>29.3</v>
      </c>
      <c r="D753" s="243">
        <v>37.4</v>
      </c>
      <c r="E753" s="241">
        <v>26.7</v>
      </c>
      <c r="F753" s="242">
        <v>33.200000000000003</v>
      </c>
      <c r="G753" s="243">
        <v>42.3</v>
      </c>
      <c r="H753" s="241">
        <v>31.8</v>
      </c>
      <c r="I753" s="242">
        <v>39.5</v>
      </c>
      <c r="J753" s="243">
        <v>50.4</v>
      </c>
      <c r="K753" s="241">
        <v>42.8</v>
      </c>
      <c r="L753" s="242">
        <v>53.2</v>
      </c>
      <c r="M753" s="243">
        <v>67.599999999999994</v>
      </c>
      <c r="N753" s="241">
        <v>74.2</v>
      </c>
      <c r="O753" s="242">
        <v>91.5</v>
      </c>
      <c r="P753" s="243">
        <v>114</v>
      </c>
      <c r="Z753" s="244">
        <f t="shared" si="34"/>
        <v>75.699999999999392</v>
      </c>
      <c r="AA753" s="376">
        <f t="shared" si="35"/>
        <v>1.4561372794680376E-5</v>
      </c>
    </row>
    <row r="754" spans="1:27">
      <c r="A754" s="244">
        <f t="shared" si="33"/>
        <v>75.799999999999386</v>
      </c>
      <c r="B754" s="241">
        <v>23.4</v>
      </c>
      <c r="C754" s="242">
        <v>29.1</v>
      </c>
      <c r="D754" s="243">
        <v>37.200000000000003</v>
      </c>
      <c r="E754" s="241">
        <v>26.5</v>
      </c>
      <c r="F754" s="242">
        <v>33</v>
      </c>
      <c r="G754" s="243">
        <v>42.1</v>
      </c>
      <c r="H754" s="241">
        <v>31.5</v>
      </c>
      <c r="I754" s="242">
        <v>39.299999999999997</v>
      </c>
      <c r="J754" s="243">
        <v>50.2</v>
      </c>
      <c r="K754" s="241">
        <v>42.4</v>
      </c>
      <c r="L754" s="242">
        <v>52.9</v>
      </c>
      <c r="M754" s="243">
        <v>67.3</v>
      </c>
      <c r="N754" s="241">
        <v>73.5</v>
      </c>
      <c r="O754" s="242">
        <v>90.9</v>
      </c>
      <c r="P754" s="243">
        <v>113.5</v>
      </c>
      <c r="Z754" s="244">
        <f t="shared" si="34"/>
        <v>75.799999999999386</v>
      </c>
      <c r="AA754" s="376">
        <f t="shared" si="35"/>
        <v>1.4508605557533007E-5</v>
      </c>
    </row>
    <row r="755" spans="1:27">
      <c r="A755" s="244">
        <f t="shared" si="33"/>
        <v>75.89999999999938</v>
      </c>
      <c r="B755" s="241">
        <v>23.2</v>
      </c>
      <c r="C755" s="242">
        <v>28.9</v>
      </c>
      <c r="D755" s="243">
        <v>37</v>
      </c>
      <c r="E755" s="241">
        <v>26.2</v>
      </c>
      <c r="F755" s="242">
        <v>32.700000000000003</v>
      </c>
      <c r="G755" s="243">
        <v>41.9</v>
      </c>
      <c r="H755" s="241">
        <v>31.2</v>
      </c>
      <c r="I755" s="242">
        <v>39</v>
      </c>
      <c r="J755" s="243">
        <v>49.9</v>
      </c>
      <c r="K755" s="241">
        <v>42</v>
      </c>
      <c r="L755" s="242">
        <v>52.5</v>
      </c>
      <c r="M755" s="243">
        <v>67</v>
      </c>
      <c r="N755" s="241">
        <v>72.900000000000006</v>
      </c>
      <c r="O755" s="242">
        <v>90.3</v>
      </c>
      <c r="P755" s="243">
        <v>113.1</v>
      </c>
      <c r="Z755" s="244">
        <f t="shared" si="34"/>
        <v>75.89999999999938</v>
      </c>
      <c r="AA755" s="376">
        <f t="shared" si="35"/>
        <v>1.4456098727559604E-5</v>
      </c>
    </row>
    <row r="756" spans="1:27">
      <c r="A756" s="244">
        <f t="shared" si="33"/>
        <v>75.999999999999375</v>
      </c>
      <c r="B756" s="241">
        <v>23</v>
      </c>
      <c r="C756" s="242">
        <v>28.7</v>
      </c>
      <c r="D756" s="243">
        <v>36.799999999999997</v>
      </c>
      <c r="E756" s="241">
        <v>26</v>
      </c>
      <c r="F756" s="242">
        <v>32.5</v>
      </c>
      <c r="G756" s="243">
        <v>41.7</v>
      </c>
      <c r="H756" s="241">
        <v>30.9</v>
      </c>
      <c r="I756" s="242">
        <v>38.700000000000003</v>
      </c>
      <c r="J756" s="243">
        <v>49.7</v>
      </c>
      <c r="K756" s="241">
        <v>41.6</v>
      </c>
      <c r="L756" s="242">
        <v>52.2</v>
      </c>
      <c r="M756" s="243">
        <v>66.7</v>
      </c>
      <c r="N756" s="241">
        <v>72.2</v>
      </c>
      <c r="O756" s="242">
        <v>89.8</v>
      </c>
      <c r="P756" s="243">
        <v>112.6</v>
      </c>
      <c r="Z756" s="244">
        <f t="shared" si="34"/>
        <v>75.999999999999375</v>
      </c>
      <c r="AA756" s="376">
        <f t="shared" si="35"/>
        <v>1.4403850679089374E-5</v>
      </c>
    </row>
    <row r="757" spans="1:27">
      <c r="A757" s="244">
        <f t="shared" si="33"/>
        <v>76.099999999999369</v>
      </c>
      <c r="B757" s="241">
        <v>22.8</v>
      </c>
      <c r="C757" s="242">
        <v>28.5</v>
      </c>
      <c r="D757" s="243">
        <v>36.700000000000003</v>
      </c>
      <c r="E757" s="241">
        <v>25.8</v>
      </c>
      <c r="F757" s="242">
        <v>32.299999999999997</v>
      </c>
      <c r="G757" s="243">
        <v>41.5</v>
      </c>
      <c r="H757" s="241">
        <v>30.6</v>
      </c>
      <c r="I757" s="242">
        <v>38.5</v>
      </c>
      <c r="J757" s="243">
        <v>49.5</v>
      </c>
      <c r="K757" s="241">
        <v>41.3</v>
      </c>
      <c r="L757" s="242">
        <v>51.8</v>
      </c>
      <c r="M757" s="243">
        <v>66.400000000000006</v>
      </c>
      <c r="N757" s="241">
        <v>71.599999999999994</v>
      </c>
      <c r="O757" s="242">
        <v>89.2</v>
      </c>
      <c r="P757" s="243">
        <v>112.2</v>
      </c>
      <c r="Z757" s="244">
        <f t="shared" si="34"/>
        <v>76.099999999999369</v>
      </c>
      <c r="AA757" s="376">
        <f t="shared" si="35"/>
        <v>1.4351859798720685E-5</v>
      </c>
    </row>
    <row r="758" spans="1:27">
      <c r="A758" s="244">
        <f t="shared" si="33"/>
        <v>76.199999999999363</v>
      </c>
      <c r="B758" s="241">
        <v>22.6</v>
      </c>
      <c r="C758" s="242">
        <v>28.4</v>
      </c>
      <c r="D758" s="243">
        <v>36.5</v>
      </c>
      <c r="E758" s="241">
        <v>25.5</v>
      </c>
      <c r="F758" s="242">
        <v>32.1</v>
      </c>
      <c r="G758" s="243">
        <v>41.3</v>
      </c>
      <c r="H758" s="241">
        <v>30.4</v>
      </c>
      <c r="I758" s="242">
        <v>38.200000000000003</v>
      </c>
      <c r="J758" s="243">
        <v>49.3</v>
      </c>
      <c r="K758" s="241">
        <v>40.9</v>
      </c>
      <c r="L758" s="242">
        <v>51.5</v>
      </c>
      <c r="M758" s="243">
        <v>66.099999999999994</v>
      </c>
      <c r="N758" s="241">
        <v>71</v>
      </c>
      <c r="O758" s="242">
        <v>88.7</v>
      </c>
      <c r="P758" s="243">
        <v>111.8</v>
      </c>
      <c r="Z758" s="244">
        <f t="shared" si="34"/>
        <v>76.199999999999363</v>
      </c>
      <c r="AA758" s="376">
        <f t="shared" si="35"/>
        <v>1.4300124485212562E-5</v>
      </c>
    </row>
    <row r="759" spans="1:27">
      <c r="A759" s="244">
        <f t="shared" si="33"/>
        <v>76.299999999999358</v>
      </c>
      <c r="B759" s="241">
        <v>22.4</v>
      </c>
      <c r="C759" s="242">
        <v>28.2</v>
      </c>
      <c r="D759" s="243">
        <v>36.299999999999997</v>
      </c>
      <c r="E759" s="241">
        <v>25.3</v>
      </c>
      <c r="F759" s="242">
        <v>31.9</v>
      </c>
      <c r="G759" s="243">
        <v>41.2</v>
      </c>
      <c r="H759" s="241">
        <v>30.1</v>
      </c>
      <c r="I759" s="242">
        <v>38</v>
      </c>
      <c r="J759" s="243">
        <v>49</v>
      </c>
      <c r="K759" s="241">
        <v>40.5</v>
      </c>
      <c r="L759" s="242">
        <v>51.2</v>
      </c>
      <c r="M759" s="243">
        <v>65.8</v>
      </c>
      <c r="N759" s="241">
        <v>70.400000000000006</v>
      </c>
      <c r="O759" s="242">
        <v>88.2</v>
      </c>
      <c r="P759" s="243">
        <v>111.3</v>
      </c>
      <c r="Z759" s="244">
        <f t="shared" si="34"/>
        <v>76.299999999999358</v>
      </c>
      <c r="AA759" s="376">
        <f t="shared" si="35"/>
        <v>1.4248643149377185E-5</v>
      </c>
    </row>
    <row r="760" spans="1:27">
      <c r="A760" s="244">
        <f t="shared" si="33"/>
        <v>76.399999999999352</v>
      </c>
      <c r="B760" s="241">
        <v>22.2</v>
      </c>
      <c r="C760" s="242">
        <v>28</v>
      </c>
      <c r="D760" s="243">
        <v>36.200000000000003</v>
      </c>
      <c r="E760" s="241">
        <v>25.1</v>
      </c>
      <c r="F760" s="242">
        <v>31.7</v>
      </c>
      <c r="G760" s="243">
        <v>41</v>
      </c>
      <c r="H760" s="241">
        <v>29.8</v>
      </c>
      <c r="I760" s="242">
        <v>37.799999999999997</v>
      </c>
      <c r="J760" s="243">
        <v>48.8</v>
      </c>
      <c r="K760" s="241">
        <v>40.1</v>
      </c>
      <c r="L760" s="242">
        <v>50.9</v>
      </c>
      <c r="M760" s="243">
        <v>65.599999999999994</v>
      </c>
      <c r="N760" s="241">
        <v>69.8</v>
      </c>
      <c r="O760" s="242">
        <v>87.7</v>
      </c>
      <c r="P760" s="243">
        <v>110.9</v>
      </c>
      <c r="Z760" s="244">
        <f t="shared" si="34"/>
        <v>76.399999999999352</v>
      </c>
      <c r="AA760" s="376">
        <f t="shared" si="35"/>
        <v>1.4197414213973564E-5</v>
      </c>
    </row>
    <row r="761" spans="1:27">
      <c r="A761" s="244">
        <f t="shared" si="33"/>
        <v>76.499999999999346</v>
      </c>
      <c r="B761" s="241">
        <v>22</v>
      </c>
      <c r="C761" s="242">
        <v>27.8</v>
      </c>
      <c r="D761" s="243">
        <v>36</v>
      </c>
      <c r="E761" s="241">
        <v>24.9</v>
      </c>
      <c r="F761" s="242">
        <v>31.5</v>
      </c>
      <c r="G761" s="243">
        <v>40.799999999999997</v>
      </c>
      <c r="H761" s="241">
        <v>29.6</v>
      </c>
      <c r="I761" s="242">
        <v>37.5</v>
      </c>
      <c r="J761" s="243">
        <v>48.6</v>
      </c>
      <c r="K761" s="241">
        <v>39.799999999999997</v>
      </c>
      <c r="L761" s="242">
        <v>50.6</v>
      </c>
      <c r="M761" s="243">
        <v>65.3</v>
      </c>
      <c r="N761" s="241">
        <v>69.2</v>
      </c>
      <c r="O761" s="242">
        <v>87.2</v>
      </c>
      <c r="P761" s="243">
        <v>110.5</v>
      </c>
      <c r="Z761" s="244">
        <f t="shared" si="34"/>
        <v>76.499999999999346</v>
      </c>
      <c r="AA761" s="376">
        <f t="shared" si="35"/>
        <v>1.4146436113602194E-5</v>
      </c>
    </row>
    <row r="762" spans="1:27">
      <c r="A762" s="244">
        <f t="shared" si="33"/>
        <v>76.599999999999341</v>
      </c>
      <c r="B762" s="241">
        <v>21.8</v>
      </c>
      <c r="C762" s="242">
        <v>27.7</v>
      </c>
      <c r="D762" s="243">
        <v>35.9</v>
      </c>
      <c r="E762" s="241">
        <v>24.6</v>
      </c>
      <c r="F762" s="242">
        <v>31.3</v>
      </c>
      <c r="G762" s="243">
        <v>40.700000000000003</v>
      </c>
      <c r="H762" s="241">
        <v>29.3</v>
      </c>
      <c r="I762" s="242">
        <v>37.299999999999997</v>
      </c>
      <c r="J762" s="243">
        <v>48.4</v>
      </c>
      <c r="K762" s="241">
        <v>39.4</v>
      </c>
      <c r="L762" s="242">
        <v>50.2</v>
      </c>
      <c r="M762" s="243">
        <v>65.099999999999994</v>
      </c>
      <c r="N762" s="241">
        <v>68.599999999999994</v>
      </c>
      <c r="O762" s="242">
        <v>86.7</v>
      </c>
      <c r="P762" s="243">
        <v>110.1</v>
      </c>
      <c r="Z762" s="244">
        <f t="shared" si="34"/>
        <v>76.599999999999341</v>
      </c>
      <c r="AA762" s="376">
        <f t="shared" si="35"/>
        <v>1.4095707294600899E-5</v>
      </c>
    </row>
    <row r="763" spans="1:27">
      <c r="A763" s="244">
        <f t="shared" si="33"/>
        <v>76.699999999999335</v>
      </c>
      <c r="B763" s="241">
        <v>21.6</v>
      </c>
      <c r="C763" s="242">
        <v>27.5</v>
      </c>
      <c r="D763" s="243">
        <v>35.700000000000003</v>
      </c>
      <c r="E763" s="241">
        <v>24.4</v>
      </c>
      <c r="F763" s="242">
        <v>31.1</v>
      </c>
      <c r="G763" s="243">
        <v>40.5</v>
      </c>
      <c r="H763" s="241">
        <v>29</v>
      </c>
      <c r="I763" s="242">
        <v>37.1</v>
      </c>
      <c r="J763" s="243">
        <v>48.2</v>
      </c>
      <c r="K763" s="241">
        <v>39.1</v>
      </c>
      <c r="L763" s="242">
        <v>49.9</v>
      </c>
      <c r="M763" s="243">
        <v>64.8</v>
      </c>
      <c r="N763" s="241">
        <v>68</v>
      </c>
      <c r="O763" s="242">
        <v>86.2</v>
      </c>
      <c r="P763" s="243">
        <v>109.8</v>
      </c>
      <c r="Z763" s="244">
        <f t="shared" si="34"/>
        <v>76.699999999999335</v>
      </c>
      <c r="AA763" s="376">
        <f t="shared" si="35"/>
        <v>1.4045226214941576E-5</v>
      </c>
    </row>
    <row r="764" spans="1:27">
      <c r="A764" s="244">
        <f t="shared" si="33"/>
        <v>76.799999999999329</v>
      </c>
      <c r="B764" s="241">
        <v>21.5</v>
      </c>
      <c r="C764" s="242">
        <v>27.3</v>
      </c>
      <c r="D764" s="243">
        <v>35.6</v>
      </c>
      <c r="E764" s="241">
        <v>24.2</v>
      </c>
      <c r="F764" s="242">
        <v>30.9</v>
      </c>
      <c r="G764" s="243">
        <v>40.299999999999997</v>
      </c>
      <c r="H764" s="241">
        <v>28.8</v>
      </c>
      <c r="I764" s="242">
        <v>36.799999999999997</v>
      </c>
      <c r="J764" s="243">
        <v>48.1</v>
      </c>
      <c r="K764" s="241">
        <v>38.799999999999997</v>
      </c>
      <c r="L764" s="242">
        <v>49.7</v>
      </c>
      <c r="M764" s="243">
        <v>64.599999999999994</v>
      </c>
      <c r="N764" s="241">
        <v>67.5</v>
      </c>
      <c r="O764" s="242">
        <v>85.7</v>
      </c>
      <c r="P764" s="243">
        <v>109.4</v>
      </c>
      <c r="Z764" s="244">
        <f t="shared" si="34"/>
        <v>76.799999999999329</v>
      </c>
      <c r="AA764" s="376">
        <f t="shared" si="35"/>
        <v>1.3994991344128119E-5</v>
      </c>
    </row>
    <row r="765" spans="1:27">
      <c r="A765" s="244">
        <f t="shared" si="33"/>
        <v>76.899999999999324</v>
      </c>
      <c r="B765" s="241">
        <v>21.3</v>
      </c>
      <c r="C765" s="242">
        <v>27.2</v>
      </c>
      <c r="D765" s="243">
        <v>35.5</v>
      </c>
      <c r="E765" s="241">
        <v>24</v>
      </c>
      <c r="F765" s="242">
        <v>30.7</v>
      </c>
      <c r="G765" s="243">
        <v>40.200000000000003</v>
      </c>
      <c r="H765" s="241">
        <v>28.6</v>
      </c>
      <c r="I765" s="242">
        <v>36.6</v>
      </c>
      <c r="J765" s="243">
        <v>47.9</v>
      </c>
      <c r="K765" s="241">
        <v>38.4</v>
      </c>
      <c r="L765" s="242">
        <v>49.4</v>
      </c>
      <c r="M765" s="243">
        <v>64.3</v>
      </c>
      <c r="N765" s="241">
        <v>66.900000000000006</v>
      </c>
      <c r="O765" s="242">
        <v>85.3</v>
      </c>
      <c r="P765" s="243">
        <v>109</v>
      </c>
      <c r="Z765" s="244">
        <f t="shared" si="34"/>
        <v>76.899999999999324</v>
      </c>
      <c r="AA765" s="376">
        <f t="shared" si="35"/>
        <v>1.394500116309527E-5</v>
      </c>
    </row>
    <row r="766" spans="1:27">
      <c r="A766" s="244">
        <f t="shared" si="33"/>
        <v>76.999999999999318</v>
      </c>
      <c r="B766" s="241">
        <v>21.1</v>
      </c>
      <c r="C766" s="242">
        <v>27</v>
      </c>
      <c r="D766" s="243">
        <v>35.299999999999997</v>
      </c>
      <c r="E766" s="241">
        <v>23.8</v>
      </c>
      <c r="F766" s="242">
        <v>30.6</v>
      </c>
      <c r="G766" s="243">
        <v>40</v>
      </c>
      <c r="H766" s="241">
        <v>28.3</v>
      </c>
      <c r="I766" s="242">
        <v>36.4</v>
      </c>
      <c r="J766" s="243">
        <v>47.7</v>
      </c>
      <c r="K766" s="241">
        <v>38.1</v>
      </c>
      <c r="L766" s="242">
        <v>49.1</v>
      </c>
      <c r="M766" s="243">
        <v>64.099999999999994</v>
      </c>
      <c r="N766" s="241">
        <v>66.400000000000006</v>
      </c>
      <c r="O766" s="242">
        <v>84.8</v>
      </c>
      <c r="P766" s="243">
        <v>108.7</v>
      </c>
      <c r="Z766" s="244">
        <f t="shared" si="34"/>
        <v>76.999999999999318</v>
      </c>
      <c r="AA766" s="376">
        <f t="shared" si="35"/>
        <v>1.3895254164108556E-5</v>
      </c>
    </row>
    <row r="767" spans="1:27">
      <c r="A767" s="244">
        <f t="shared" si="33"/>
        <v>77.099999999999312</v>
      </c>
      <c r="B767" s="241">
        <v>20.9</v>
      </c>
      <c r="C767" s="242">
        <v>26.9</v>
      </c>
      <c r="D767" s="243">
        <v>35.200000000000003</v>
      </c>
      <c r="E767" s="241">
        <v>23.6</v>
      </c>
      <c r="F767" s="242">
        <v>30.4</v>
      </c>
      <c r="G767" s="243">
        <v>39.9</v>
      </c>
      <c r="H767" s="241">
        <v>28.1</v>
      </c>
      <c r="I767" s="242">
        <v>36.200000000000003</v>
      </c>
      <c r="J767" s="243">
        <v>47.5</v>
      </c>
      <c r="K767" s="241">
        <v>37.799999999999997</v>
      </c>
      <c r="L767" s="242">
        <v>48.8</v>
      </c>
      <c r="M767" s="243">
        <v>63.8</v>
      </c>
      <c r="N767" s="241">
        <v>65.8</v>
      </c>
      <c r="O767" s="242">
        <v>84.4</v>
      </c>
      <c r="P767" s="243">
        <v>108.3</v>
      </c>
      <c r="Z767" s="244">
        <f t="shared" si="34"/>
        <v>77.099999999999312</v>
      </c>
      <c r="AA767" s="376">
        <f t="shared" si="35"/>
        <v>1.3845748850665196E-5</v>
      </c>
    </row>
    <row r="768" spans="1:27">
      <c r="A768" s="244">
        <f t="shared" si="33"/>
        <v>77.199999999999307</v>
      </c>
      <c r="B768" s="241">
        <v>20.8</v>
      </c>
      <c r="C768" s="242">
        <v>26.7</v>
      </c>
      <c r="D768" s="243">
        <v>35.1</v>
      </c>
      <c r="E768" s="241">
        <v>23.4</v>
      </c>
      <c r="F768" s="242">
        <v>30.2</v>
      </c>
      <c r="G768" s="243">
        <v>39.700000000000003</v>
      </c>
      <c r="H768" s="241">
        <v>27.8</v>
      </c>
      <c r="I768" s="242">
        <v>36</v>
      </c>
      <c r="J768" s="243">
        <v>47.3</v>
      </c>
      <c r="K768" s="241">
        <v>37.5</v>
      </c>
      <c r="L768" s="242">
        <v>48.5</v>
      </c>
      <c r="M768" s="243">
        <v>63.6</v>
      </c>
      <c r="N768" s="241">
        <v>65.3</v>
      </c>
      <c r="O768" s="242">
        <v>83.9</v>
      </c>
      <c r="P768" s="243">
        <v>108</v>
      </c>
      <c r="Z768" s="244">
        <f t="shared" si="34"/>
        <v>77.199999999999307</v>
      </c>
      <c r="AA768" s="376">
        <f t="shared" si="35"/>
        <v>1.3796483737396E-5</v>
      </c>
    </row>
    <row r="769" spans="1:27">
      <c r="A769" s="244">
        <f t="shared" si="33"/>
        <v>77.299999999999301</v>
      </c>
      <c r="B769" s="241">
        <v>20.6</v>
      </c>
      <c r="C769" s="242">
        <v>26.6</v>
      </c>
      <c r="D769" s="243">
        <v>35</v>
      </c>
      <c r="E769" s="241">
        <v>23.2</v>
      </c>
      <c r="F769" s="242">
        <v>30.1</v>
      </c>
      <c r="G769" s="243">
        <v>39.6</v>
      </c>
      <c r="H769" s="241">
        <v>27.6</v>
      </c>
      <c r="I769" s="242">
        <v>35.799999999999997</v>
      </c>
      <c r="J769" s="243">
        <v>47.2</v>
      </c>
      <c r="K769" s="241">
        <v>37.200000000000003</v>
      </c>
      <c r="L769" s="242">
        <v>48.3</v>
      </c>
      <c r="M769" s="243">
        <v>63.4</v>
      </c>
      <c r="N769" s="241">
        <v>64.8</v>
      </c>
      <c r="O769" s="242">
        <v>83.5</v>
      </c>
      <c r="P769" s="243">
        <v>107.6</v>
      </c>
      <c r="Z769" s="244">
        <f t="shared" si="34"/>
        <v>77.299999999999301</v>
      </c>
      <c r="AA769" s="376">
        <f t="shared" si="35"/>
        <v>1.3747457349968248E-5</v>
      </c>
    </row>
    <row r="770" spans="1:27">
      <c r="A770" s="244">
        <f t="shared" si="33"/>
        <v>77.399999999999295</v>
      </c>
      <c r="B770" s="241">
        <v>20.399999999999999</v>
      </c>
      <c r="C770" s="242">
        <v>26.4</v>
      </c>
      <c r="D770" s="243">
        <v>34.799999999999997</v>
      </c>
      <c r="E770" s="241">
        <v>23.1</v>
      </c>
      <c r="F770" s="242">
        <v>29.9</v>
      </c>
      <c r="G770" s="243">
        <v>39.5</v>
      </c>
      <c r="H770" s="241">
        <v>27.4</v>
      </c>
      <c r="I770" s="242">
        <v>35.6</v>
      </c>
      <c r="J770" s="243">
        <v>47</v>
      </c>
      <c r="K770" s="241">
        <v>36.9</v>
      </c>
      <c r="L770" s="242">
        <v>48</v>
      </c>
      <c r="M770" s="243">
        <v>63.2</v>
      </c>
      <c r="N770" s="241">
        <v>64.3</v>
      </c>
      <c r="O770" s="242">
        <v>83.1</v>
      </c>
      <c r="P770" s="243">
        <v>107.3</v>
      </c>
      <c r="Z770" s="244">
        <f t="shared" si="34"/>
        <v>77.399999999999295</v>
      </c>
      <c r="AA770" s="376">
        <f t="shared" si="35"/>
        <v>1.3698668224989587E-5</v>
      </c>
    </row>
    <row r="771" spans="1:27">
      <c r="A771" s="244">
        <f t="shared" si="33"/>
        <v>77.499999999999289</v>
      </c>
      <c r="B771" s="241">
        <v>20.3</v>
      </c>
      <c r="C771" s="242">
        <v>26.3</v>
      </c>
      <c r="D771" s="243">
        <v>34.700000000000003</v>
      </c>
      <c r="E771" s="241">
        <v>22.9</v>
      </c>
      <c r="F771" s="242">
        <v>29.7</v>
      </c>
      <c r="G771" s="243">
        <v>39.299999999999997</v>
      </c>
      <c r="H771" s="241">
        <v>27.2</v>
      </c>
      <c r="I771" s="242">
        <v>35.4</v>
      </c>
      <c r="J771" s="243">
        <v>46.9</v>
      </c>
      <c r="K771" s="241">
        <v>36.6</v>
      </c>
      <c r="L771" s="242">
        <v>47.8</v>
      </c>
      <c r="M771" s="243">
        <v>63</v>
      </c>
      <c r="N771" s="241">
        <v>63.8</v>
      </c>
      <c r="O771" s="242">
        <v>82.7</v>
      </c>
      <c r="P771" s="243">
        <v>107</v>
      </c>
      <c r="Z771" s="244">
        <f t="shared" si="34"/>
        <v>77.499999999999289</v>
      </c>
      <c r="AA771" s="376">
        <f t="shared" si="35"/>
        <v>1.3650114909912812E-5</v>
      </c>
    </row>
    <row r="772" spans="1:27">
      <c r="A772" s="244">
        <f t="shared" si="33"/>
        <v>77.599999999999284</v>
      </c>
      <c r="B772" s="241">
        <v>20.100000000000001</v>
      </c>
      <c r="C772" s="242">
        <v>26.1</v>
      </c>
      <c r="D772" s="243">
        <v>34.6</v>
      </c>
      <c r="E772" s="241">
        <v>22.7</v>
      </c>
      <c r="F772" s="242">
        <v>29.6</v>
      </c>
      <c r="G772" s="243">
        <v>39.200000000000003</v>
      </c>
      <c r="H772" s="241">
        <v>27</v>
      </c>
      <c r="I772" s="242">
        <v>35.200000000000003</v>
      </c>
      <c r="J772" s="243">
        <v>46.7</v>
      </c>
      <c r="K772" s="241">
        <v>36.299999999999997</v>
      </c>
      <c r="L772" s="242">
        <v>47.5</v>
      </c>
      <c r="M772" s="243">
        <v>62.8</v>
      </c>
      <c r="N772" s="241">
        <v>63.3</v>
      </c>
      <c r="O772" s="242">
        <v>82.3</v>
      </c>
      <c r="P772" s="243">
        <v>106.7</v>
      </c>
      <c r="Z772" s="244">
        <f t="shared" si="34"/>
        <v>77.599999999999284</v>
      </c>
      <c r="AA772" s="376">
        <f t="shared" si="35"/>
        <v>1.3601795962941658E-5</v>
      </c>
    </row>
    <row r="773" spans="1:27">
      <c r="A773" s="244">
        <f t="shared" si="33"/>
        <v>77.699999999999278</v>
      </c>
      <c r="B773" s="241">
        <v>20</v>
      </c>
      <c r="C773" s="242">
        <v>26</v>
      </c>
      <c r="D773" s="243">
        <v>34.5</v>
      </c>
      <c r="E773" s="241">
        <v>22.5</v>
      </c>
      <c r="F773" s="242">
        <v>29.4</v>
      </c>
      <c r="G773" s="243">
        <v>39.1</v>
      </c>
      <c r="H773" s="241">
        <v>26.8</v>
      </c>
      <c r="I773" s="242">
        <v>35.1</v>
      </c>
      <c r="J773" s="243">
        <v>46.6</v>
      </c>
      <c r="K773" s="241">
        <v>36</v>
      </c>
      <c r="L773" s="242">
        <v>47.3</v>
      </c>
      <c r="M773" s="243">
        <v>62.6</v>
      </c>
      <c r="N773" s="241">
        <v>62.8</v>
      </c>
      <c r="O773" s="242">
        <v>81.900000000000006</v>
      </c>
      <c r="P773" s="243">
        <v>106.4</v>
      </c>
      <c r="Z773" s="244">
        <f t="shared" si="34"/>
        <v>77.699999999999278</v>
      </c>
      <c r="AA773" s="376">
        <f t="shared" si="35"/>
        <v>1.355370995293751E-5</v>
      </c>
    </row>
    <row r="774" spans="1:27">
      <c r="A774" s="244">
        <f t="shared" si="33"/>
        <v>77.799999999999272</v>
      </c>
      <c r="B774" s="241">
        <v>19.8</v>
      </c>
      <c r="C774" s="242">
        <v>25.9</v>
      </c>
      <c r="D774" s="243">
        <v>34.4</v>
      </c>
      <c r="E774" s="241">
        <v>22.3</v>
      </c>
      <c r="F774" s="242">
        <v>29.3</v>
      </c>
      <c r="G774" s="243">
        <v>38.9</v>
      </c>
      <c r="H774" s="241">
        <v>26.5</v>
      </c>
      <c r="I774" s="242">
        <v>34.9</v>
      </c>
      <c r="J774" s="243">
        <v>46.4</v>
      </c>
      <c r="K774" s="241">
        <v>35.700000000000003</v>
      </c>
      <c r="L774" s="242">
        <v>47</v>
      </c>
      <c r="M774" s="243">
        <v>62.4</v>
      </c>
      <c r="N774" s="241">
        <v>62.3</v>
      </c>
      <c r="O774" s="242">
        <v>81.5</v>
      </c>
      <c r="P774" s="243">
        <v>106.1</v>
      </c>
      <c r="Z774" s="244">
        <f t="shared" si="34"/>
        <v>77.799999999999272</v>
      </c>
      <c r="AA774" s="376">
        <f t="shared" si="35"/>
        <v>1.3505855459327025E-5</v>
      </c>
    </row>
    <row r="775" spans="1:27">
      <c r="A775" s="244">
        <f t="shared" ref="A775:A838" si="36">A774+0.1</f>
        <v>77.899999999999267</v>
      </c>
      <c r="B775" s="241">
        <v>19.7</v>
      </c>
      <c r="C775" s="242">
        <v>25.8</v>
      </c>
      <c r="D775" s="243">
        <v>34.299999999999997</v>
      </c>
      <c r="E775" s="241">
        <v>22.2</v>
      </c>
      <c r="F775" s="242">
        <v>29.1</v>
      </c>
      <c r="G775" s="243">
        <v>38.799999999999997</v>
      </c>
      <c r="H775" s="241">
        <v>26.3</v>
      </c>
      <c r="I775" s="242">
        <v>34.700000000000003</v>
      </c>
      <c r="J775" s="243">
        <v>46.3</v>
      </c>
      <c r="K775" s="241">
        <v>35.4</v>
      </c>
      <c r="L775" s="242">
        <v>46.8</v>
      </c>
      <c r="M775" s="243">
        <v>62.2</v>
      </c>
      <c r="N775" s="241">
        <v>61.9</v>
      </c>
      <c r="O775" s="242">
        <v>81.099999999999994</v>
      </c>
      <c r="P775" s="243">
        <v>105.8</v>
      </c>
      <c r="Z775" s="244">
        <f t="shared" ref="Z775:Z838" si="37">Z774+0.1</f>
        <v>77.899999999999267</v>
      </c>
      <c r="AA775" s="376">
        <f t="shared" ref="AA775:AA838" si="38">T_gal(Z775)</f>
        <v>1.3458231072010697E-5</v>
      </c>
    </row>
    <row r="776" spans="1:27">
      <c r="A776" s="244">
        <f t="shared" si="36"/>
        <v>77.999999999999261</v>
      </c>
      <c r="B776" s="241">
        <v>19.5</v>
      </c>
      <c r="C776" s="242">
        <v>25.6</v>
      </c>
      <c r="D776" s="243">
        <v>34.200000000000003</v>
      </c>
      <c r="E776" s="241">
        <v>22</v>
      </c>
      <c r="F776" s="242">
        <v>29</v>
      </c>
      <c r="G776" s="243">
        <v>38.700000000000003</v>
      </c>
      <c r="H776" s="241">
        <v>26.1</v>
      </c>
      <c r="I776" s="242">
        <v>34.5</v>
      </c>
      <c r="J776" s="243">
        <v>46.1</v>
      </c>
      <c r="K776" s="241">
        <v>35.200000000000003</v>
      </c>
      <c r="L776" s="242">
        <v>46.6</v>
      </c>
      <c r="M776" s="243">
        <v>62</v>
      </c>
      <c r="N776" s="241">
        <v>61.4</v>
      </c>
      <c r="O776" s="242">
        <v>80.7</v>
      </c>
      <c r="P776" s="243">
        <v>105.5</v>
      </c>
      <c r="Z776" s="244">
        <f t="shared" si="37"/>
        <v>77.999999999999261</v>
      </c>
      <c r="AA776" s="376">
        <f t="shared" si="38"/>
        <v>1.3410835391272333E-5</v>
      </c>
    </row>
    <row r="777" spans="1:27">
      <c r="A777" s="244">
        <f t="shared" si="36"/>
        <v>78.099999999999255</v>
      </c>
      <c r="B777" s="241">
        <v>19.399999999999999</v>
      </c>
      <c r="C777" s="242">
        <v>25.5</v>
      </c>
      <c r="D777" s="243">
        <v>34.1</v>
      </c>
      <c r="E777" s="241">
        <v>21.9</v>
      </c>
      <c r="F777" s="242">
        <v>28.8</v>
      </c>
      <c r="G777" s="243">
        <v>38.6</v>
      </c>
      <c r="H777" s="241">
        <v>25.9</v>
      </c>
      <c r="I777" s="242">
        <v>34.4</v>
      </c>
      <c r="J777" s="243">
        <v>46</v>
      </c>
      <c r="K777" s="241">
        <v>34.9</v>
      </c>
      <c r="L777" s="242">
        <v>46.3</v>
      </c>
      <c r="M777" s="243">
        <v>61.8</v>
      </c>
      <c r="N777" s="241">
        <v>61</v>
      </c>
      <c r="O777" s="242">
        <v>80.400000000000006</v>
      </c>
      <c r="P777" s="243">
        <v>105.3</v>
      </c>
      <c r="Z777" s="244">
        <f t="shared" si="37"/>
        <v>78.099999999999255</v>
      </c>
      <c r="AA777" s="376">
        <f t="shared" si="38"/>
        <v>1.3363667027689382E-5</v>
      </c>
    </row>
    <row r="778" spans="1:27">
      <c r="A778" s="244">
        <f t="shared" si="36"/>
        <v>78.19999999999925</v>
      </c>
      <c r="B778" s="241">
        <v>19.2</v>
      </c>
      <c r="C778" s="242">
        <v>25.4</v>
      </c>
      <c r="D778" s="243">
        <v>34</v>
      </c>
      <c r="E778" s="241">
        <v>21.7</v>
      </c>
      <c r="F778" s="242">
        <v>28.7</v>
      </c>
      <c r="G778" s="243">
        <v>38.5</v>
      </c>
      <c r="H778" s="241">
        <v>25.8</v>
      </c>
      <c r="I778" s="242">
        <v>34.200000000000003</v>
      </c>
      <c r="J778" s="243">
        <v>45.9</v>
      </c>
      <c r="K778" s="241">
        <v>34.6</v>
      </c>
      <c r="L778" s="242">
        <v>46.1</v>
      </c>
      <c r="M778" s="243">
        <v>61.7</v>
      </c>
      <c r="N778" s="241">
        <v>60.5</v>
      </c>
      <c r="O778" s="242">
        <v>80</v>
      </c>
      <c r="P778" s="243">
        <v>105</v>
      </c>
      <c r="Z778" s="244">
        <f t="shared" si="37"/>
        <v>78.19999999999925</v>
      </c>
      <c r="AA778" s="376">
        <f t="shared" si="38"/>
        <v>1.3316724602044219E-5</v>
      </c>
    </row>
    <row r="779" spans="1:27">
      <c r="A779" s="244">
        <f t="shared" si="36"/>
        <v>78.299999999999244</v>
      </c>
      <c r="B779" s="241">
        <v>19.100000000000001</v>
      </c>
      <c r="C779" s="242">
        <v>25.3</v>
      </c>
      <c r="D779" s="243">
        <v>33.9</v>
      </c>
      <c r="E779" s="241">
        <v>21.5</v>
      </c>
      <c r="F779" s="242">
        <v>28.6</v>
      </c>
      <c r="G779" s="243">
        <v>38.4</v>
      </c>
      <c r="H779" s="241">
        <v>25.6</v>
      </c>
      <c r="I779" s="242">
        <v>34</v>
      </c>
      <c r="J779" s="243">
        <v>45.7</v>
      </c>
      <c r="K779" s="241">
        <v>34.4</v>
      </c>
      <c r="L779" s="242">
        <v>45.9</v>
      </c>
      <c r="M779" s="243">
        <v>61.5</v>
      </c>
      <c r="N779" s="241">
        <v>60.1</v>
      </c>
      <c r="O779" s="242">
        <v>79.599999999999994</v>
      </c>
      <c r="P779" s="243">
        <v>104.7</v>
      </c>
      <c r="Z779" s="244">
        <f t="shared" si="37"/>
        <v>78.299999999999244</v>
      </c>
      <c r="AA779" s="376">
        <f t="shared" si="38"/>
        <v>1.3270006745236226E-5</v>
      </c>
    </row>
    <row r="780" spans="1:27">
      <c r="A780" s="244">
        <f t="shared" si="36"/>
        <v>78.399999999999238</v>
      </c>
      <c r="B780" s="241">
        <v>19</v>
      </c>
      <c r="C780" s="242">
        <v>25.1</v>
      </c>
      <c r="D780" s="243">
        <v>33.799999999999997</v>
      </c>
      <c r="E780" s="241">
        <v>21.4</v>
      </c>
      <c r="F780" s="242">
        <v>28.4</v>
      </c>
      <c r="G780" s="243">
        <v>38.299999999999997</v>
      </c>
      <c r="H780" s="241">
        <v>25.4</v>
      </c>
      <c r="I780" s="242">
        <v>33.9</v>
      </c>
      <c r="J780" s="243">
        <v>45.6</v>
      </c>
      <c r="K780" s="241">
        <v>34.1</v>
      </c>
      <c r="L780" s="242">
        <v>45.7</v>
      </c>
      <c r="M780" s="243">
        <v>61.3</v>
      </c>
      <c r="N780" s="241">
        <v>59.6</v>
      </c>
      <c r="O780" s="242">
        <v>79.3</v>
      </c>
      <c r="P780" s="243">
        <v>104.5</v>
      </c>
      <c r="Z780" s="244">
        <f t="shared" si="37"/>
        <v>78.399999999999238</v>
      </c>
      <c r="AA780" s="376">
        <f t="shared" si="38"/>
        <v>1.3223512098194835E-5</v>
      </c>
    </row>
    <row r="781" spans="1:27">
      <c r="A781" s="244">
        <f t="shared" si="36"/>
        <v>78.499999999999233</v>
      </c>
      <c r="B781" s="241">
        <v>18.8</v>
      </c>
      <c r="C781" s="242">
        <v>25</v>
      </c>
      <c r="D781" s="243">
        <v>33.700000000000003</v>
      </c>
      <c r="E781" s="241">
        <v>21.2</v>
      </c>
      <c r="F781" s="242">
        <v>28.3</v>
      </c>
      <c r="G781" s="243">
        <v>38.200000000000003</v>
      </c>
      <c r="H781" s="241">
        <v>25.2</v>
      </c>
      <c r="I781" s="242">
        <v>33.700000000000003</v>
      </c>
      <c r="J781" s="243">
        <v>45.5</v>
      </c>
      <c r="K781" s="241">
        <v>33.9</v>
      </c>
      <c r="L781" s="242">
        <v>45.5</v>
      </c>
      <c r="M781" s="243">
        <v>61.2</v>
      </c>
      <c r="N781" s="241">
        <v>59.2</v>
      </c>
      <c r="O781" s="242">
        <v>78.900000000000006</v>
      </c>
      <c r="P781" s="243">
        <v>104.2</v>
      </c>
      <c r="Z781" s="244">
        <f t="shared" si="37"/>
        <v>78.499999999999233</v>
      </c>
      <c r="AA781" s="376">
        <f t="shared" si="38"/>
        <v>1.3177239311793341E-5</v>
      </c>
    </row>
    <row r="782" spans="1:27">
      <c r="A782" s="244">
        <f t="shared" si="36"/>
        <v>78.599999999999227</v>
      </c>
      <c r="B782" s="241">
        <v>18.7</v>
      </c>
      <c r="C782" s="242">
        <v>24.9</v>
      </c>
      <c r="D782" s="243">
        <v>33.6</v>
      </c>
      <c r="E782" s="241">
        <v>21.1</v>
      </c>
      <c r="F782" s="242">
        <v>28.2</v>
      </c>
      <c r="G782" s="243">
        <v>38.1</v>
      </c>
      <c r="H782" s="241">
        <v>25</v>
      </c>
      <c r="I782" s="242">
        <v>33.6</v>
      </c>
      <c r="J782" s="243">
        <v>45.4</v>
      </c>
      <c r="K782" s="241">
        <v>33.6</v>
      </c>
      <c r="L782" s="242">
        <v>45.3</v>
      </c>
      <c r="M782" s="243">
        <v>61</v>
      </c>
      <c r="N782" s="241">
        <v>58.8</v>
      </c>
      <c r="O782" s="242">
        <v>78.599999999999994</v>
      </c>
      <c r="P782" s="243">
        <v>104</v>
      </c>
      <c r="Z782" s="244">
        <f t="shared" si="37"/>
        <v>78.599999999999227</v>
      </c>
      <c r="AA782" s="376">
        <f t="shared" si="38"/>
        <v>1.313118704676361E-5</v>
      </c>
    </row>
    <row r="783" spans="1:27">
      <c r="A783" s="244">
        <f t="shared" si="36"/>
        <v>78.699999999999221</v>
      </c>
      <c r="B783" s="241">
        <v>18.600000000000001</v>
      </c>
      <c r="C783" s="242">
        <v>24.8</v>
      </c>
      <c r="D783" s="243">
        <v>33.5</v>
      </c>
      <c r="E783" s="241">
        <v>20.9</v>
      </c>
      <c r="F783" s="242">
        <v>28.1</v>
      </c>
      <c r="G783" s="243">
        <v>38</v>
      </c>
      <c r="H783" s="241">
        <v>24.8</v>
      </c>
      <c r="I783" s="242">
        <v>33.4</v>
      </c>
      <c r="J783" s="243">
        <v>45.2</v>
      </c>
      <c r="K783" s="241">
        <v>33.4</v>
      </c>
      <c r="L783" s="242">
        <v>45.1</v>
      </c>
      <c r="M783" s="243">
        <v>60.9</v>
      </c>
      <c r="N783" s="241">
        <v>58.4</v>
      </c>
      <c r="O783" s="242">
        <v>78.3</v>
      </c>
      <c r="P783" s="243">
        <v>103.7</v>
      </c>
      <c r="Z783" s="244">
        <f t="shared" si="37"/>
        <v>78.699999999999221</v>
      </c>
      <c r="AA783" s="376">
        <f t="shared" si="38"/>
        <v>1.308535397361164E-5</v>
      </c>
    </row>
    <row r="784" spans="1:27">
      <c r="A784" s="244">
        <f t="shared" si="36"/>
        <v>78.799999999999216</v>
      </c>
      <c r="B784" s="241">
        <v>18.399999999999999</v>
      </c>
      <c r="C784" s="242">
        <v>24.7</v>
      </c>
      <c r="D784" s="243">
        <v>33.4</v>
      </c>
      <c r="E784" s="241">
        <v>20.8</v>
      </c>
      <c r="F784" s="242">
        <v>27.9</v>
      </c>
      <c r="G784" s="243">
        <v>37.9</v>
      </c>
      <c r="H784" s="241">
        <v>24.7</v>
      </c>
      <c r="I784" s="242">
        <v>33.299999999999997</v>
      </c>
      <c r="J784" s="243">
        <v>45.1</v>
      </c>
      <c r="K784" s="241">
        <v>33.200000000000003</v>
      </c>
      <c r="L784" s="242">
        <v>44.9</v>
      </c>
      <c r="M784" s="243">
        <v>60.7</v>
      </c>
      <c r="N784" s="241">
        <v>58</v>
      </c>
      <c r="O784" s="242">
        <v>78</v>
      </c>
      <c r="P784" s="243">
        <v>103.5</v>
      </c>
      <c r="Z784" s="244">
        <f t="shared" si="37"/>
        <v>78.799999999999216</v>
      </c>
      <c r="AA784" s="376">
        <f t="shared" si="38"/>
        <v>1.3039738772533888E-5</v>
      </c>
    </row>
    <row r="785" spans="1:27">
      <c r="A785" s="244">
        <f t="shared" si="36"/>
        <v>78.89999999999921</v>
      </c>
      <c r="B785" s="241">
        <v>18.3</v>
      </c>
      <c r="C785" s="242">
        <v>24.6</v>
      </c>
      <c r="D785" s="243">
        <v>33.299999999999997</v>
      </c>
      <c r="E785" s="241">
        <v>20.6</v>
      </c>
      <c r="F785" s="242">
        <v>27.8</v>
      </c>
      <c r="G785" s="243">
        <v>37.799999999999997</v>
      </c>
      <c r="H785" s="241">
        <v>24.5</v>
      </c>
      <c r="I785" s="242">
        <v>33.1</v>
      </c>
      <c r="J785" s="243">
        <v>45</v>
      </c>
      <c r="K785" s="241">
        <v>32.9</v>
      </c>
      <c r="L785" s="242">
        <v>44.7</v>
      </c>
      <c r="M785" s="243">
        <v>60.6</v>
      </c>
      <c r="N785" s="241">
        <v>57.6</v>
      </c>
      <c r="O785" s="242">
        <v>77.599999999999994</v>
      </c>
      <c r="P785" s="243">
        <v>103.3</v>
      </c>
      <c r="Z785" s="244">
        <f t="shared" si="37"/>
        <v>78.89999999999921</v>
      </c>
      <c r="AA785" s="376">
        <f t="shared" si="38"/>
        <v>1.2994340133334497E-5</v>
      </c>
    </row>
    <row r="786" spans="1:27">
      <c r="A786" s="244">
        <f t="shared" si="36"/>
        <v>78.999999999999204</v>
      </c>
      <c r="B786" s="241">
        <v>18.2</v>
      </c>
      <c r="C786" s="242">
        <v>24.5</v>
      </c>
      <c r="D786" s="243">
        <v>33.299999999999997</v>
      </c>
      <c r="E786" s="241">
        <v>20.5</v>
      </c>
      <c r="F786" s="242">
        <v>27.7</v>
      </c>
      <c r="G786" s="243">
        <v>37.700000000000003</v>
      </c>
      <c r="H786" s="241">
        <v>24.3</v>
      </c>
      <c r="I786" s="242">
        <v>33</v>
      </c>
      <c r="J786" s="243">
        <v>44.9</v>
      </c>
      <c r="K786" s="241">
        <v>32.700000000000003</v>
      </c>
      <c r="L786" s="242">
        <v>44.5</v>
      </c>
      <c r="M786" s="243">
        <v>60.4</v>
      </c>
      <c r="N786" s="241">
        <v>57.2</v>
      </c>
      <c r="O786" s="242">
        <v>77.3</v>
      </c>
      <c r="P786" s="243">
        <v>103.1</v>
      </c>
      <c r="Z786" s="244">
        <f t="shared" si="37"/>
        <v>78.999999999999204</v>
      </c>
      <c r="AA786" s="376">
        <f t="shared" si="38"/>
        <v>1.2949156755343272E-5</v>
      </c>
    </row>
    <row r="787" spans="1:27">
      <c r="A787" s="244">
        <f t="shared" si="36"/>
        <v>79.099999999999199</v>
      </c>
      <c r="B787" s="241">
        <v>18.100000000000001</v>
      </c>
      <c r="C787" s="242">
        <v>24.4</v>
      </c>
      <c r="D787" s="243">
        <v>33.200000000000003</v>
      </c>
      <c r="E787" s="241">
        <v>20.399999999999999</v>
      </c>
      <c r="F787" s="242">
        <v>27.6</v>
      </c>
      <c r="G787" s="243">
        <v>37.6</v>
      </c>
      <c r="H787" s="241">
        <v>24.2</v>
      </c>
      <c r="I787" s="242">
        <v>32.799999999999997</v>
      </c>
      <c r="J787" s="243">
        <v>44.8</v>
      </c>
      <c r="K787" s="241">
        <v>32.5</v>
      </c>
      <c r="L787" s="242">
        <v>44.3</v>
      </c>
      <c r="M787" s="243">
        <v>60.3</v>
      </c>
      <c r="N787" s="241">
        <v>56.8</v>
      </c>
      <c r="O787" s="242">
        <v>77</v>
      </c>
      <c r="P787" s="243">
        <v>102.8</v>
      </c>
      <c r="Z787" s="244">
        <f t="shared" si="37"/>
        <v>79.099999999999199</v>
      </c>
      <c r="AA787" s="376">
        <f t="shared" si="38"/>
        <v>1.2904187347334492E-5</v>
      </c>
    </row>
    <row r="788" spans="1:27">
      <c r="A788" s="244">
        <f t="shared" si="36"/>
        <v>79.199999999999193</v>
      </c>
      <c r="B788" s="241">
        <v>18</v>
      </c>
      <c r="C788" s="242">
        <v>24.3</v>
      </c>
      <c r="D788" s="243">
        <v>33.1</v>
      </c>
      <c r="E788" s="241">
        <v>20.2</v>
      </c>
      <c r="F788" s="242">
        <v>27.5</v>
      </c>
      <c r="G788" s="243">
        <v>37.5</v>
      </c>
      <c r="H788" s="241">
        <v>24</v>
      </c>
      <c r="I788" s="242">
        <v>32.700000000000003</v>
      </c>
      <c r="J788" s="243">
        <v>44.7</v>
      </c>
      <c r="K788" s="241">
        <v>32.200000000000003</v>
      </c>
      <c r="L788" s="242">
        <v>44.1</v>
      </c>
      <c r="M788" s="243">
        <v>60.1</v>
      </c>
      <c r="N788" s="241">
        <v>56.4</v>
      </c>
      <c r="O788" s="242">
        <v>76.7</v>
      </c>
      <c r="P788" s="243">
        <v>102.6</v>
      </c>
      <c r="Z788" s="244">
        <f t="shared" si="37"/>
        <v>79.199999999999193</v>
      </c>
      <c r="AA788" s="376">
        <f t="shared" si="38"/>
        <v>1.2859430627446501E-5</v>
      </c>
    </row>
    <row r="789" spans="1:27">
      <c r="A789" s="244">
        <f t="shared" si="36"/>
        <v>79.299999999999187</v>
      </c>
      <c r="B789" s="241">
        <v>17.8</v>
      </c>
      <c r="C789" s="242">
        <v>24.2</v>
      </c>
      <c r="D789" s="243">
        <v>33</v>
      </c>
      <c r="E789" s="241">
        <v>20.100000000000001</v>
      </c>
      <c r="F789" s="242">
        <v>27.4</v>
      </c>
      <c r="G789" s="243">
        <v>37.4</v>
      </c>
      <c r="H789" s="241">
        <v>23.8</v>
      </c>
      <c r="I789" s="242">
        <v>32.6</v>
      </c>
      <c r="J789" s="243">
        <v>44.6</v>
      </c>
      <c r="K789" s="241">
        <v>32</v>
      </c>
      <c r="L789" s="242">
        <v>43.9</v>
      </c>
      <c r="M789" s="243">
        <v>60</v>
      </c>
      <c r="N789" s="241">
        <v>56</v>
      </c>
      <c r="O789" s="242">
        <v>76.400000000000006</v>
      </c>
      <c r="P789" s="243">
        <v>102.4</v>
      </c>
      <c r="Z789" s="244">
        <f t="shared" si="37"/>
        <v>79.299999999999187</v>
      </c>
      <c r="AA789" s="376">
        <f t="shared" si="38"/>
        <v>1.2814885323102099E-5</v>
      </c>
    </row>
    <row r="790" spans="1:27">
      <c r="A790" s="244">
        <f t="shared" si="36"/>
        <v>79.399999999999181</v>
      </c>
      <c r="B790" s="241">
        <v>17.7</v>
      </c>
      <c r="C790" s="242">
        <v>24.1</v>
      </c>
      <c r="D790" s="243">
        <v>33</v>
      </c>
      <c r="E790" s="241">
        <v>20</v>
      </c>
      <c r="F790" s="242">
        <v>27.3</v>
      </c>
      <c r="G790" s="243">
        <v>37.299999999999997</v>
      </c>
      <c r="H790" s="241">
        <v>23.7</v>
      </c>
      <c r="I790" s="242">
        <v>32.4</v>
      </c>
      <c r="J790" s="243">
        <v>44.5</v>
      </c>
      <c r="K790" s="241">
        <v>31.8</v>
      </c>
      <c r="L790" s="242">
        <v>43.8</v>
      </c>
      <c r="M790" s="243">
        <v>59.9</v>
      </c>
      <c r="N790" s="241">
        <v>55.7</v>
      </c>
      <c r="O790" s="242">
        <v>76.099999999999994</v>
      </c>
      <c r="P790" s="243">
        <v>102.2</v>
      </c>
      <c r="Z790" s="244">
        <f t="shared" si="37"/>
        <v>79.399999999999181</v>
      </c>
      <c r="AA790" s="376">
        <f t="shared" si="38"/>
        <v>1.27705501709297E-5</v>
      </c>
    </row>
    <row r="791" spans="1:27">
      <c r="A791" s="244">
        <f t="shared" si="36"/>
        <v>79.499999999999176</v>
      </c>
      <c r="B791" s="241">
        <v>17.600000000000001</v>
      </c>
      <c r="C791" s="242">
        <v>24</v>
      </c>
      <c r="D791" s="243">
        <v>32.9</v>
      </c>
      <c r="E791" s="241">
        <v>19.8</v>
      </c>
      <c r="F791" s="242">
        <v>27.1</v>
      </c>
      <c r="G791" s="243">
        <v>37.299999999999997</v>
      </c>
      <c r="H791" s="241">
        <v>23.5</v>
      </c>
      <c r="I791" s="242">
        <v>32.299999999999997</v>
      </c>
      <c r="J791" s="243">
        <v>44.4</v>
      </c>
      <c r="K791" s="241">
        <v>31.6</v>
      </c>
      <c r="L791" s="242">
        <v>43.6</v>
      </c>
      <c r="M791" s="243">
        <v>59.7</v>
      </c>
      <c r="N791" s="241">
        <v>55.3</v>
      </c>
      <c r="O791" s="242">
        <v>75.900000000000006</v>
      </c>
      <c r="P791" s="243">
        <v>102</v>
      </c>
      <c r="Z791" s="244">
        <f t="shared" si="37"/>
        <v>79.499999999999176</v>
      </c>
      <c r="AA791" s="376">
        <f t="shared" si="38"/>
        <v>1.2726423916685243E-5</v>
      </c>
    </row>
    <row r="792" spans="1:27">
      <c r="A792" s="244">
        <f t="shared" si="36"/>
        <v>79.59999999999917</v>
      </c>
      <c r="B792" s="241">
        <v>17.5</v>
      </c>
      <c r="C792" s="242">
        <v>23.9</v>
      </c>
      <c r="D792" s="243">
        <v>32.799999999999997</v>
      </c>
      <c r="E792" s="241">
        <v>19.7</v>
      </c>
      <c r="F792" s="242">
        <v>27</v>
      </c>
      <c r="G792" s="243">
        <v>37.200000000000003</v>
      </c>
      <c r="H792" s="241">
        <v>23.4</v>
      </c>
      <c r="I792" s="242">
        <v>32.200000000000003</v>
      </c>
      <c r="J792" s="243">
        <v>44.3</v>
      </c>
      <c r="K792" s="241">
        <v>31.4</v>
      </c>
      <c r="L792" s="242">
        <v>43.4</v>
      </c>
      <c r="M792" s="243">
        <v>59.6</v>
      </c>
      <c r="N792" s="241">
        <v>55</v>
      </c>
      <c r="O792" s="242">
        <v>75.599999999999994</v>
      </c>
      <c r="P792" s="243">
        <v>101.8</v>
      </c>
      <c r="Z792" s="244">
        <f t="shared" si="37"/>
        <v>79.59999999999917</v>
      </c>
      <c r="AA792" s="376">
        <f t="shared" si="38"/>
        <v>1.2682505315174874E-5</v>
      </c>
    </row>
    <row r="793" spans="1:27">
      <c r="A793" s="244">
        <f t="shared" si="36"/>
        <v>79.699999999999164</v>
      </c>
      <c r="B793" s="241">
        <v>17.399999999999999</v>
      </c>
      <c r="C793" s="242">
        <v>23.8</v>
      </c>
      <c r="D793" s="243">
        <v>32.799999999999997</v>
      </c>
      <c r="E793" s="241">
        <v>19.600000000000001</v>
      </c>
      <c r="F793" s="242">
        <v>26.9</v>
      </c>
      <c r="G793" s="243">
        <v>37.1</v>
      </c>
      <c r="H793" s="241">
        <v>23.2</v>
      </c>
      <c r="I793" s="242">
        <v>32.1</v>
      </c>
      <c r="J793" s="243">
        <v>44.2</v>
      </c>
      <c r="K793" s="241">
        <v>31.2</v>
      </c>
      <c r="L793" s="242">
        <v>43.3</v>
      </c>
      <c r="M793" s="243">
        <v>59.5</v>
      </c>
      <c r="N793" s="241">
        <v>54.6</v>
      </c>
      <c r="O793" s="242">
        <v>75.3</v>
      </c>
      <c r="P793" s="243">
        <v>101.7</v>
      </c>
      <c r="Z793" s="244">
        <f t="shared" si="37"/>
        <v>79.699999999999164</v>
      </c>
      <c r="AA793" s="376">
        <f t="shared" si="38"/>
        <v>1.2638793130178416E-5</v>
      </c>
    </row>
    <row r="794" spans="1:27">
      <c r="A794" s="244">
        <f t="shared" si="36"/>
        <v>79.799999999999159</v>
      </c>
      <c r="B794" s="241">
        <v>17.3</v>
      </c>
      <c r="C794" s="242">
        <v>23.7</v>
      </c>
      <c r="D794" s="243">
        <v>32.700000000000003</v>
      </c>
      <c r="E794" s="241">
        <v>19.5</v>
      </c>
      <c r="F794" s="242">
        <v>26.8</v>
      </c>
      <c r="G794" s="243">
        <v>37</v>
      </c>
      <c r="H794" s="241">
        <v>23.1</v>
      </c>
      <c r="I794" s="242">
        <v>32</v>
      </c>
      <c r="J794" s="243">
        <v>44.1</v>
      </c>
      <c r="K794" s="241">
        <v>31</v>
      </c>
      <c r="L794" s="242">
        <v>43.1</v>
      </c>
      <c r="M794" s="243">
        <v>59.4</v>
      </c>
      <c r="N794" s="241">
        <v>54.3</v>
      </c>
      <c r="O794" s="242">
        <v>75</v>
      </c>
      <c r="P794" s="243">
        <v>101.5</v>
      </c>
      <c r="Z794" s="244">
        <f t="shared" si="37"/>
        <v>79.799999999999159</v>
      </c>
      <c r="AA794" s="376">
        <f t="shared" si="38"/>
        <v>1.2595286134373508E-5</v>
      </c>
    </row>
    <row r="795" spans="1:27">
      <c r="A795" s="244">
        <f t="shared" si="36"/>
        <v>79.899999999999153</v>
      </c>
      <c r="B795" s="241">
        <v>17.2</v>
      </c>
      <c r="C795" s="242">
        <v>23.6</v>
      </c>
      <c r="D795" s="243">
        <v>32.6</v>
      </c>
      <c r="E795" s="241">
        <v>19.3</v>
      </c>
      <c r="F795" s="242">
        <v>26.7</v>
      </c>
      <c r="G795" s="243">
        <v>37</v>
      </c>
      <c r="H795" s="241">
        <v>22.9</v>
      </c>
      <c r="I795" s="242">
        <v>31.8</v>
      </c>
      <c r="J795" s="243">
        <v>44</v>
      </c>
      <c r="K795" s="241">
        <v>30.8</v>
      </c>
      <c r="L795" s="242">
        <v>42.9</v>
      </c>
      <c r="M795" s="243">
        <v>59.3</v>
      </c>
      <c r="N795" s="241">
        <v>53.9</v>
      </c>
      <c r="O795" s="242">
        <v>74.8</v>
      </c>
      <c r="P795" s="243">
        <v>101.3</v>
      </c>
      <c r="Z795" s="244">
        <f t="shared" si="37"/>
        <v>79.899999999999153</v>
      </c>
      <c r="AA795" s="376">
        <f t="shared" si="38"/>
        <v>1.2551983109260523E-5</v>
      </c>
    </row>
    <row r="796" spans="1:27">
      <c r="A796" s="244">
        <f t="shared" si="36"/>
        <v>79.999999999999147</v>
      </c>
      <c r="B796" s="241">
        <v>17.100000000000001</v>
      </c>
      <c r="C796" s="242">
        <v>23.6</v>
      </c>
      <c r="D796" s="243">
        <v>32.6</v>
      </c>
      <c r="E796" s="241">
        <v>19.2</v>
      </c>
      <c r="F796" s="242">
        <v>26.6</v>
      </c>
      <c r="G796" s="243">
        <v>36.9</v>
      </c>
      <c r="H796" s="241">
        <v>22.8</v>
      </c>
      <c r="I796" s="242">
        <v>31.7</v>
      </c>
      <c r="J796" s="243">
        <v>44</v>
      </c>
      <c r="K796" s="241">
        <v>30.6</v>
      </c>
      <c r="L796" s="242">
        <v>42.8</v>
      </c>
      <c r="M796" s="243">
        <v>59.2</v>
      </c>
      <c r="N796" s="241">
        <v>53.6</v>
      </c>
      <c r="O796" s="242">
        <v>74.5</v>
      </c>
      <c r="P796" s="243">
        <v>101.1</v>
      </c>
      <c r="Z796" s="244">
        <f t="shared" si="37"/>
        <v>79.999999999999147</v>
      </c>
      <c r="AA796" s="376">
        <f t="shared" si="38"/>
        <v>1.2508882845088252E-5</v>
      </c>
    </row>
    <row r="797" spans="1:27">
      <c r="A797" s="244">
        <f t="shared" si="36"/>
        <v>80.099999999999142</v>
      </c>
      <c r="B797" s="241">
        <v>17</v>
      </c>
      <c r="C797" s="242">
        <v>23.5</v>
      </c>
      <c r="D797" s="243">
        <v>32.5</v>
      </c>
      <c r="E797" s="241">
        <v>19.100000000000001</v>
      </c>
      <c r="F797" s="242">
        <v>26.5</v>
      </c>
      <c r="G797" s="243">
        <v>36.799999999999997</v>
      </c>
      <c r="H797" s="241">
        <v>22.6</v>
      </c>
      <c r="I797" s="242">
        <v>31.6</v>
      </c>
      <c r="J797" s="243">
        <v>43.9</v>
      </c>
      <c r="K797" s="241">
        <v>30.4</v>
      </c>
      <c r="L797" s="242">
        <v>42.6</v>
      </c>
      <c r="M797" s="243">
        <v>59.1</v>
      </c>
      <c r="N797" s="241">
        <v>53.2</v>
      </c>
      <c r="O797" s="242">
        <v>74.3</v>
      </c>
      <c r="P797" s="243">
        <v>101</v>
      </c>
      <c r="Z797" s="244">
        <f t="shared" si="37"/>
        <v>80.099999999999142</v>
      </c>
      <c r="AA797" s="376">
        <f t="shared" si="38"/>
        <v>1.2465984140780195E-5</v>
      </c>
    </row>
    <row r="798" spans="1:27">
      <c r="A798" s="244">
        <f t="shared" si="36"/>
        <v>80.199999999999136</v>
      </c>
      <c r="B798" s="241">
        <v>16.899999999999999</v>
      </c>
      <c r="C798" s="242">
        <v>23.4</v>
      </c>
      <c r="D798" s="243">
        <v>32.4</v>
      </c>
      <c r="E798" s="241">
        <v>19</v>
      </c>
      <c r="F798" s="242">
        <v>26.5</v>
      </c>
      <c r="G798" s="243">
        <v>36.700000000000003</v>
      </c>
      <c r="H798" s="241">
        <v>22.5</v>
      </c>
      <c r="I798" s="242">
        <v>31.5</v>
      </c>
      <c r="J798" s="243">
        <v>43.8</v>
      </c>
      <c r="K798" s="241">
        <v>30.2</v>
      </c>
      <c r="L798" s="242">
        <v>42.5</v>
      </c>
      <c r="M798" s="243">
        <v>59</v>
      </c>
      <c r="N798" s="241">
        <v>52.9</v>
      </c>
      <c r="O798" s="242">
        <v>74</v>
      </c>
      <c r="P798" s="243">
        <v>100.8</v>
      </c>
      <c r="Z798" s="244">
        <f t="shared" si="37"/>
        <v>80.199999999999136</v>
      </c>
      <c r="AA798" s="376">
        <f t="shared" si="38"/>
        <v>1.2423285803861674E-5</v>
      </c>
    </row>
    <row r="799" spans="1:27">
      <c r="A799" s="244">
        <f t="shared" si="36"/>
        <v>80.29999999999913</v>
      </c>
      <c r="B799" s="241">
        <v>16.8</v>
      </c>
      <c r="C799" s="242">
        <v>23.3</v>
      </c>
      <c r="D799" s="243">
        <v>32.4</v>
      </c>
      <c r="E799" s="241">
        <v>18.899999999999999</v>
      </c>
      <c r="F799" s="242">
        <v>26.4</v>
      </c>
      <c r="G799" s="243">
        <v>36.700000000000003</v>
      </c>
      <c r="H799" s="241">
        <v>22.4</v>
      </c>
      <c r="I799" s="242">
        <v>31.4</v>
      </c>
      <c r="J799" s="243">
        <v>43.7</v>
      </c>
      <c r="K799" s="241">
        <v>30</v>
      </c>
      <c r="L799" s="242">
        <v>42.3</v>
      </c>
      <c r="M799" s="243">
        <v>58.9</v>
      </c>
      <c r="N799" s="241">
        <v>52.6</v>
      </c>
      <c r="O799" s="242">
        <v>73.8</v>
      </c>
      <c r="P799" s="243">
        <v>100.6</v>
      </c>
      <c r="Z799" s="244">
        <f t="shared" si="37"/>
        <v>80.29999999999913</v>
      </c>
      <c r="AA799" s="376">
        <f t="shared" si="38"/>
        <v>1.2380786650387601E-5</v>
      </c>
    </row>
    <row r="800" spans="1:27">
      <c r="A800" s="244">
        <f t="shared" si="36"/>
        <v>80.399999999999125</v>
      </c>
      <c r="B800" s="241">
        <v>16.7</v>
      </c>
      <c r="C800" s="242">
        <v>23.2</v>
      </c>
      <c r="D800" s="243">
        <v>32.299999999999997</v>
      </c>
      <c r="E800" s="241">
        <v>18.8</v>
      </c>
      <c r="F800" s="242">
        <v>26.3</v>
      </c>
      <c r="G800" s="243">
        <v>36.6</v>
      </c>
      <c r="H800" s="241">
        <v>22.2</v>
      </c>
      <c r="I800" s="242">
        <v>31.3</v>
      </c>
      <c r="J800" s="243">
        <v>43.6</v>
      </c>
      <c r="K800" s="241">
        <v>29.8</v>
      </c>
      <c r="L800" s="242">
        <v>42.2</v>
      </c>
      <c r="M800" s="243">
        <v>58.8</v>
      </c>
      <c r="N800" s="241">
        <v>52.3</v>
      </c>
      <c r="O800" s="242">
        <v>73.5</v>
      </c>
      <c r="P800" s="243">
        <v>100.5</v>
      </c>
      <c r="Z800" s="244">
        <f t="shared" si="37"/>
        <v>80.399999999999125</v>
      </c>
      <c r="AA800" s="376">
        <f t="shared" si="38"/>
        <v>1.2338485504870937E-5</v>
      </c>
    </row>
    <row r="801" spans="1:27">
      <c r="A801" s="244">
        <f t="shared" si="36"/>
        <v>80.499999999999119</v>
      </c>
      <c r="B801" s="241">
        <v>16.600000000000001</v>
      </c>
      <c r="C801" s="242">
        <v>23.2</v>
      </c>
      <c r="D801" s="243">
        <v>32.299999999999997</v>
      </c>
      <c r="E801" s="241">
        <v>18.7</v>
      </c>
      <c r="F801" s="242">
        <v>26.2</v>
      </c>
      <c r="G801" s="243">
        <v>36.6</v>
      </c>
      <c r="H801" s="241">
        <v>22.1</v>
      </c>
      <c r="I801" s="242">
        <v>31.2</v>
      </c>
      <c r="J801" s="243">
        <v>43.6</v>
      </c>
      <c r="K801" s="241">
        <v>29.7</v>
      </c>
      <c r="L801" s="242">
        <v>42</v>
      </c>
      <c r="M801" s="243">
        <v>58.7</v>
      </c>
      <c r="N801" s="241">
        <v>52</v>
      </c>
      <c r="O801" s="242">
        <v>73.3</v>
      </c>
      <c r="P801" s="243">
        <v>100.3</v>
      </c>
      <c r="Z801" s="244">
        <f t="shared" si="37"/>
        <v>80.499999999999119</v>
      </c>
      <c r="AA801" s="376">
        <f t="shared" si="38"/>
        <v>1.2296381200211835E-5</v>
      </c>
    </row>
    <row r="802" spans="1:27">
      <c r="A802" s="244">
        <f t="shared" si="36"/>
        <v>80.599999999999113</v>
      </c>
      <c r="B802" s="241">
        <v>16.5</v>
      </c>
      <c r="C802" s="242">
        <v>23.1</v>
      </c>
      <c r="D802" s="243">
        <v>32.200000000000003</v>
      </c>
      <c r="E802" s="241">
        <v>18.5</v>
      </c>
      <c r="F802" s="242">
        <v>26.1</v>
      </c>
      <c r="G802" s="243">
        <v>36.5</v>
      </c>
      <c r="H802" s="241">
        <v>22</v>
      </c>
      <c r="I802" s="242">
        <v>31.1</v>
      </c>
      <c r="J802" s="243">
        <v>43.5</v>
      </c>
      <c r="K802" s="241">
        <v>29.5</v>
      </c>
      <c r="L802" s="242">
        <v>41.9</v>
      </c>
      <c r="M802" s="243">
        <v>58.6</v>
      </c>
      <c r="N802" s="241">
        <v>51.7</v>
      </c>
      <c r="O802" s="242">
        <v>73.099999999999994</v>
      </c>
      <c r="P802" s="243">
        <v>100.2</v>
      </c>
      <c r="Z802" s="244">
        <f t="shared" si="37"/>
        <v>80.599999999999113</v>
      </c>
      <c r="AA802" s="376">
        <f t="shared" si="38"/>
        <v>1.2254472577627513E-5</v>
      </c>
    </row>
    <row r="803" spans="1:27">
      <c r="A803" s="244">
        <f t="shared" si="36"/>
        <v>80.699999999999108</v>
      </c>
      <c r="B803" s="241">
        <v>16.399999999999999</v>
      </c>
      <c r="C803" s="242">
        <v>23</v>
      </c>
      <c r="D803" s="243">
        <v>32.200000000000003</v>
      </c>
      <c r="E803" s="241">
        <v>18.399999999999999</v>
      </c>
      <c r="F803" s="242">
        <v>26</v>
      </c>
      <c r="G803" s="243">
        <v>36.4</v>
      </c>
      <c r="H803" s="241">
        <v>21.8</v>
      </c>
      <c r="I803" s="242">
        <v>31</v>
      </c>
      <c r="J803" s="243">
        <v>43.4</v>
      </c>
      <c r="K803" s="241">
        <v>29.3</v>
      </c>
      <c r="L803" s="242">
        <v>41.8</v>
      </c>
      <c r="M803" s="243">
        <v>58.5</v>
      </c>
      <c r="N803" s="241">
        <v>51.3</v>
      </c>
      <c r="O803" s="242">
        <v>72.900000000000006</v>
      </c>
      <c r="P803" s="243">
        <v>100.1</v>
      </c>
      <c r="Z803" s="244">
        <f t="shared" si="37"/>
        <v>80.699999999999108</v>
      </c>
      <c r="AA803" s="376">
        <f t="shared" si="38"/>
        <v>1.2212758486582726E-5</v>
      </c>
    </row>
    <row r="804" spans="1:27">
      <c r="A804" s="244">
        <f t="shared" si="36"/>
        <v>80.799999999999102</v>
      </c>
      <c r="B804" s="241">
        <v>16.3</v>
      </c>
      <c r="C804" s="242">
        <v>22.9</v>
      </c>
      <c r="D804" s="243">
        <v>32.1</v>
      </c>
      <c r="E804" s="241">
        <v>18.3</v>
      </c>
      <c r="F804" s="242">
        <v>25.9</v>
      </c>
      <c r="G804" s="243">
        <v>36.4</v>
      </c>
      <c r="H804" s="241">
        <v>21.7</v>
      </c>
      <c r="I804" s="242">
        <v>30.9</v>
      </c>
      <c r="J804" s="243">
        <v>43.4</v>
      </c>
      <c r="K804" s="241">
        <v>29.1</v>
      </c>
      <c r="L804" s="242">
        <v>41.6</v>
      </c>
      <c r="M804" s="243">
        <v>58.4</v>
      </c>
      <c r="N804" s="241">
        <v>51</v>
      </c>
      <c r="O804" s="242">
        <v>72.599999999999994</v>
      </c>
      <c r="P804" s="243">
        <v>99.9</v>
      </c>
      <c r="Z804" s="244">
        <f t="shared" si="37"/>
        <v>80.799999999999102</v>
      </c>
      <c r="AA804" s="376">
        <f t="shared" si="38"/>
        <v>1.2171237784720963E-5</v>
      </c>
    </row>
    <row r="805" spans="1:27">
      <c r="A805" s="244">
        <f t="shared" si="36"/>
        <v>80.899999999999096</v>
      </c>
      <c r="B805" s="241">
        <v>16.2</v>
      </c>
      <c r="C805" s="242">
        <v>22.9</v>
      </c>
      <c r="D805" s="243">
        <v>32.1</v>
      </c>
      <c r="E805" s="241">
        <v>18.2</v>
      </c>
      <c r="F805" s="242">
        <v>25.9</v>
      </c>
      <c r="G805" s="243">
        <v>36.299999999999997</v>
      </c>
      <c r="H805" s="241">
        <v>21.6</v>
      </c>
      <c r="I805" s="242">
        <v>30.8</v>
      </c>
      <c r="J805" s="243">
        <v>43.3</v>
      </c>
      <c r="K805" s="241">
        <v>29</v>
      </c>
      <c r="L805" s="242">
        <v>41.5</v>
      </c>
      <c r="M805" s="243">
        <v>58.3</v>
      </c>
      <c r="N805" s="241">
        <v>50.8</v>
      </c>
      <c r="O805" s="242">
        <v>72.400000000000006</v>
      </c>
      <c r="P805" s="243">
        <v>99.8</v>
      </c>
      <c r="Z805" s="244">
        <f t="shared" si="37"/>
        <v>80.899999999999096</v>
      </c>
      <c r="AA805" s="376">
        <f t="shared" si="38"/>
        <v>1.2129909337796272E-5</v>
      </c>
    </row>
    <row r="806" spans="1:27">
      <c r="A806" s="244">
        <f t="shared" si="36"/>
        <v>80.999999999999091</v>
      </c>
      <c r="B806" s="241">
        <v>16.100000000000001</v>
      </c>
      <c r="C806" s="242">
        <v>22.8</v>
      </c>
      <c r="D806" s="243">
        <v>32</v>
      </c>
      <c r="E806" s="241">
        <v>18.100000000000001</v>
      </c>
      <c r="F806" s="242">
        <v>25.8</v>
      </c>
      <c r="G806" s="243">
        <v>36.299999999999997</v>
      </c>
      <c r="H806" s="241">
        <v>21.5</v>
      </c>
      <c r="I806" s="242">
        <v>30.7</v>
      </c>
      <c r="J806" s="243">
        <v>43.2</v>
      </c>
      <c r="K806" s="241">
        <v>28.8</v>
      </c>
      <c r="L806" s="242">
        <v>41.4</v>
      </c>
      <c r="M806" s="243">
        <v>58.2</v>
      </c>
      <c r="N806" s="241">
        <v>50.5</v>
      </c>
      <c r="O806" s="242">
        <v>72.2</v>
      </c>
      <c r="P806" s="243">
        <v>99.7</v>
      </c>
      <c r="Z806" s="244">
        <f t="shared" si="37"/>
        <v>80.999999999999091</v>
      </c>
      <c r="AA806" s="376">
        <f t="shared" si="38"/>
        <v>1.208877201960574E-5</v>
      </c>
    </row>
    <row r="807" spans="1:27">
      <c r="A807" s="244">
        <f t="shared" si="36"/>
        <v>81.099999999999085</v>
      </c>
      <c r="B807" s="241">
        <v>16</v>
      </c>
      <c r="C807" s="242">
        <v>22.7</v>
      </c>
      <c r="D807" s="243">
        <v>32</v>
      </c>
      <c r="E807" s="241">
        <v>18</v>
      </c>
      <c r="F807" s="242">
        <v>25.7</v>
      </c>
      <c r="G807" s="243">
        <v>36.200000000000003</v>
      </c>
      <c r="H807" s="241">
        <v>21.3</v>
      </c>
      <c r="I807" s="242">
        <v>30.6</v>
      </c>
      <c r="J807" s="243">
        <v>43.2</v>
      </c>
      <c r="K807" s="241">
        <v>28.6</v>
      </c>
      <c r="L807" s="242">
        <v>41.3</v>
      </c>
      <c r="M807" s="243">
        <v>58.1</v>
      </c>
      <c r="N807" s="241">
        <v>50.2</v>
      </c>
      <c r="O807" s="242">
        <v>72</v>
      </c>
      <c r="P807" s="243">
        <v>99.5</v>
      </c>
      <c r="Z807" s="244">
        <f t="shared" si="37"/>
        <v>81.099999999999085</v>
      </c>
      <c r="AA807" s="376">
        <f t="shared" si="38"/>
        <v>1.2047824711922631E-5</v>
      </c>
    </row>
    <row r="808" spans="1:27">
      <c r="A808" s="244">
        <f t="shared" si="36"/>
        <v>81.199999999999079</v>
      </c>
      <c r="B808" s="241">
        <v>15.9</v>
      </c>
      <c r="C808" s="242">
        <v>22.7</v>
      </c>
      <c r="D808" s="243">
        <v>31.9</v>
      </c>
      <c r="E808" s="241">
        <v>17.899999999999999</v>
      </c>
      <c r="F808" s="242">
        <v>25.6</v>
      </c>
      <c r="G808" s="243">
        <v>36.200000000000003</v>
      </c>
      <c r="H808" s="241">
        <v>21.2</v>
      </c>
      <c r="I808" s="242">
        <v>30.5</v>
      </c>
      <c r="J808" s="243">
        <v>43.1</v>
      </c>
      <c r="K808" s="241">
        <v>28.5</v>
      </c>
      <c r="L808" s="242">
        <v>41.1</v>
      </c>
      <c r="M808" s="243">
        <v>58.1</v>
      </c>
      <c r="N808" s="241">
        <v>49.9</v>
      </c>
      <c r="O808" s="242">
        <v>71.8</v>
      </c>
      <c r="P808" s="243">
        <v>99.4</v>
      </c>
      <c r="Z808" s="244">
        <f t="shared" si="37"/>
        <v>81.199999999999079</v>
      </c>
      <c r="AA808" s="376">
        <f t="shared" si="38"/>
        <v>1.2007066304430171E-5</v>
      </c>
    </row>
    <row r="809" spans="1:27">
      <c r="A809" s="244">
        <f t="shared" si="36"/>
        <v>81.299999999999073</v>
      </c>
      <c r="B809" s="241">
        <v>15.9</v>
      </c>
      <c r="C809" s="242">
        <v>22.6</v>
      </c>
      <c r="D809" s="243">
        <v>31.9</v>
      </c>
      <c r="E809" s="241">
        <v>17.8</v>
      </c>
      <c r="F809" s="242">
        <v>25.5</v>
      </c>
      <c r="G809" s="243">
        <v>36.1</v>
      </c>
      <c r="H809" s="241">
        <v>21.1</v>
      </c>
      <c r="I809" s="242">
        <v>30.4</v>
      </c>
      <c r="J809" s="243">
        <v>43.1</v>
      </c>
      <c r="K809" s="241">
        <v>28.3</v>
      </c>
      <c r="L809" s="242">
        <v>41</v>
      </c>
      <c r="M809" s="243">
        <v>58</v>
      </c>
      <c r="N809" s="241">
        <v>49.6</v>
      </c>
      <c r="O809" s="242">
        <v>71.599999999999994</v>
      </c>
      <c r="P809" s="243">
        <v>99.3</v>
      </c>
      <c r="Z809" s="244">
        <f t="shared" si="37"/>
        <v>81.299999999999073</v>
      </c>
      <c r="AA809" s="376">
        <f t="shared" si="38"/>
        <v>1.1966495694655892E-5</v>
      </c>
    </row>
    <row r="810" spans="1:27">
      <c r="A810" s="244">
        <f t="shared" si="36"/>
        <v>81.399999999999068</v>
      </c>
      <c r="B810" s="241">
        <v>15.8</v>
      </c>
      <c r="C810" s="242">
        <v>22.5</v>
      </c>
      <c r="D810" s="243">
        <v>31.9</v>
      </c>
      <c r="E810" s="241">
        <v>17.7</v>
      </c>
      <c r="F810" s="242">
        <v>25.5</v>
      </c>
      <c r="G810" s="243">
        <v>36.1</v>
      </c>
      <c r="H810" s="241">
        <v>21</v>
      </c>
      <c r="I810" s="242">
        <v>30.3</v>
      </c>
      <c r="J810" s="243">
        <v>43</v>
      </c>
      <c r="K810" s="241">
        <v>28.1</v>
      </c>
      <c r="L810" s="242">
        <v>40.9</v>
      </c>
      <c r="M810" s="243">
        <v>57.9</v>
      </c>
      <c r="N810" s="241">
        <v>49.3</v>
      </c>
      <c r="O810" s="242">
        <v>71.400000000000006</v>
      </c>
      <c r="P810" s="243">
        <v>99.2</v>
      </c>
      <c r="Z810" s="244">
        <f t="shared" si="37"/>
        <v>81.399999999999068</v>
      </c>
      <c r="AA810" s="376">
        <f t="shared" si="38"/>
        <v>1.1926111787906704E-5</v>
      </c>
    </row>
    <row r="811" spans="1:27">
      <c r="A811" s="244">
        <f t="shared" si="36"/>
        <v>81.499999999999062</v>
      </c>
      <c r="B811" s="241">
        <v>15.7</v>
      </c>
      <c r="C811" s="242">
        <v>22.5</v>
      </c>
      <c r="D811" s="243">
        <v>31.8</v>
      </c>
      <c r="E811" s="241">
        <v>17.600000000000001</v>
      </c>
      <c r="F811" s="242">
        <v>25.4</v>
      </c>
      <c r="G811" s="243">
        <v>36</v>
      </c>
      <c r="H811" s="241">
        <v>20.9</v>
      </c>
      <c r="I811" s="242">
        <v>30.2</v>
      </c>
      <c r="J811" s="243">
        <v>43</v>
      </c>
      <c r="K811" s="241">
        <v>28</v>
      </c>
      <c r="L811" s="242">
        <v>40.799999999999997</v>
      </c>
      <c r="M811" s="243">
        <v>57.8</v>
      </c>
      <c r="N811" s="241">
        <v>49.1</v>
      </c>
      <c r="O811" s="242">
        <v>71.2</v>
      </c>
      <c r="P811" s="243">
        <v>99.1</v>
      </c>
      <c r="Z811" s="244">
        <f t="shared" si="37"/>
        <v>81.499999999999062</v>
      </c>
      <c r="AA811" s="376">
        <f t="shared" si="38"/>
        <v>1.1885913497204528E-5</v>
      </c>
    </row>
    <row r="812" spans="1:27">
      <c r="A812" s="244">
        <f t="shared" si="36"/>
        <v>81.599999999999056</v>
      </c>
      <c r="B812" s="241">
        <v>15.6</v>
      </c>
      <c r="C812" s="242">
        <v>22.4</v>
      </c>
      <c r="D812" s="243">
        <v>31.8</v>
      </c>
      <c r="E812" s="241">
        <v>17.600000000000001</v>
      </c>
      <c r="F812" s="242">
        <v>25.3</v>
      </c>
      <c r="G812" s="243">
        <v>36</v>
      </c>
      <c r="H812" s="241">
        <v>20.8</v>
      </c>
      <c r="I812" s="242">
        <v>30.1</v>
      </c>
      <c r="J812" s="243">
        <v>42.9</v>
      </c>
      <c r="K812" s="241">
        <v>27.8</v>
      </c>
      <c r="L812" s="242">
        <v>40.700000000000003</v>
      </c>
      <c r="M812" s="243">
        <v>57.8</v>
      </c>
      <c r="N812" s="241">
        <v>48.8</v>
      </c>
      <c r="O812" s="242">
        <v>71</v>
      </c>
      <c r="P812" s="243">
        <v>99</v>
      </c>
      <c r="Z812" s="244">
        <f t="shared" si="37"/>
        <v>81.599999999999056</v>
      </c>
      <c r="AA812" s="376">
        <f t="shared" si="38"/>
        <v>1.1845899743222514E-5</v>
      </c>
    </row>
    <row r="813" spans="1:27">
      <c r="A813" s="244">
        <f t="shared" si="36"/>
        <v>81.699999999999051</v>
      </c>
      <c r="B813" s="241">
        <v>15.5</v>
      </c>
      <c r="C813" s="242">
        <v>22.4</v>
      </c>
      <c r="D813" s="243">
        <v>31.7</v>
      </c>
      <c r="E813" s="241">
        <v>17.5</v>
      </c>
      <c r="F813" s="242">
        <v>25.3</v>
      </c>
      <c r="G813" s="243">
        <v>36</v>
      </c>
      <c r="H813" s="241">
        <v>20.7</v>
      </c>
      <c r="I813" s="242">
        <v>30.1</v>
      </c>
      <c r="J813" s="243">
        <v>42.9</v>
      </c>
      <c r="K813" s="241">
        <v>27.7</v>
      </c>
      <c r="L813" s="242">
        <v>40.5</v>
      </c>
      <c r="M813" s="243">
        <v>57.7</v>
      </c>
      <c r="N813" s="241">
        <v>48.5</v>
      </c>
      <c r="O813" s="242">
        <v>70.8</v>
      </c>
      <c r="P813" s="243">
        <v>98.9</v>
      </c>
      <c r="Z813" s="244">
        <f t="shared" si="37"/>
        <v>81.699999999999051</v>
      </c>
      <c r="AA813" s="376">
        <f t="shared" si="38"/>
        <v>1.1806069454221935E-5</v>
      </c>
    </row>
    <row r="814" spans="1:27">
      <c r="A814" s="244">
        <f t="shared" si="36"/>
        <v>81.799999999999045</v>
      </c>
      <c r="B814" s="241">
        <v>15.5</v>
      </c>
      <c r="C814" s="242">
        <v>22.3</v>
      </c>
      <c r="D814" s="243">
        <v>31.7</v>
      </c>
      <c r="E814" s="241">
        <v>17.399999999999999</v>
      </c>
      <c r="F814" s="242">
        <v>25.2</v>
      </c>
      <c r="G814" s="243">
        <v>35.9</v>
      </c>
      <c r="H814" s="241">
        <v>20.5</v>
      </c>
      <c r="I814" s="242">
        <v>30</v>
      </c>
      <c r="J814" s="243">
        <v>42.8</v>
      </c>
      <c r="K814" s="241">
        <v>27.5</v>
      </c>
      <c r="L814" s="242">
        <v>40.4</v>
      </c>
      <c r="M814" s="243">
        <v>57.6</v>
      </c>
      <c r="N814" s="241">
        <v>48.3</v>
      </c>
      <c r="O814" s="242">
        <v>70.599999999999994</v>
      </c>
      <c r="P814" s="243">
        <v>98.8</v>
      </c>
      <c r="Z814" s="244">
        <f t="shared" si="37"/>
        <v>81.799999999999045</v>
      </c>
      <c r="AA814" s="376">
        <f t="shared" si="38"/>
        <v>1.1766421565989605E-5</v>
      </c>
    </row>
    <row r="815" spans="1:27">
      <c r="A815" s="244">
        <f t="shared" si="36"/>
        <v>81.899999999999039</v>
      </c>
      <c r="B815" s="241">
        <v>15.4</v>
      </c>
      <c r="C815" s="242">
        <v>22.2</v>
      </c>
      <c r="D815" s="243">
        <v>31.7</v>
      </c>
      <c r="E815" s="241">
        <v>17.3</v>
      </c>
      <c r="F815" s="242">
        <v>25.1</v>
      </c>
      <c r="G815" s="243">
        <v>35.9</v>
      </c>
      <c r="H815" s="241">
        <v>20.399999999999999</v>
      </c>
      <c r="I815" s="242">
        <v>29.9</v>
      </c>
      <c r="J815" s="243">
        <v>42.8</v>
      </c>
      <c r="K815" s="241">
        <v>27.4</v>
      </c>
      <c r="L815" s="242">
        <v>40.299999999999997</v>
      </c>
      <c r="M815" s="243">
        <v>57.6</v>
      </c>
      <c r="N815" s="241">
        <v>48</v>
      </c>
      <c r="O815" s="242">
        <v>70.5</v>
      </c>
      <c r="P815" s="243">
        <v>98.7</v>
      </c>
      <c r="Z815" s="244">
        <f t="shared" si="37"/>
        <v>81.899999999999039</v>
      </c>
      <c r="AA815" s="376">
        <f t="shared" si="38"/>
        <v>1.1726955021775936E-5</v>
      </c>
    </row>
    <row r="816" spans="1:27">
      <c r="A816" s="244">
        <f t="shared" si="36"/>
        <v>81.999999999999034</v>
      </c>
      <c r="B816" s="241">
        <v>15.3</v>
      </c>
      <c r="C816" s="242">
        <v>22.2</v>
      </c>
      <c r="D816" s="243">
        <v>31.6</v>
      </c>
      <c r="E816" s="241">
        <v>17.2</v>
      </c>
      <c r="F816" s="242">
        <v>25.1</v>
      </c>
      <c r="G816" s="243">
        <v>35.799999999999997</v>
      </c>
      <c r="H816" s="241">
        <v>20.3</v>
      </c>
      <c r="I816" s="242">
        <v>29.8</v>
      </c>
      <c r="J816" s="243">
        <v>42.7</v>
      </c>
      <c r="K816" s="241">
        <v>27.3</v>
      </c>
      <c r="L816" s="242">
        <v>40.200000000000003</v>
      </c>
      <c r="M816" s="243">
        <v>57.5</v>
      </c>
      <c r="N816" s="241">
        <v>47.8</v>
      </c>
      <c r="O816" s="242">
        <v>70.3</v>
      </c>
      <c r="P816" s="243">
        <v>98.6</v>
      </c>
      <c r="Z816" s="244">
        <f t="shared" si="37"/>
        <v>81.999999999999034</v>
      </c>
      <c r="AA816" s="376">
        <f t="shared" si="38"/>
        <v>1.1687668772233576E-5</v>
      </c>
    </row>
    <row r="817" spans="1:27">
      <c r="A817" s="244">
        <f t="shared" si="36"/>
        <v>82.099999999999028</v>
      </c>
      <c r="B817" s="241">
        <v>15.2</v>
      </c>
      <c r="C817" s="242">
        <v>22.1</v>
      </c>
      <c r="D817" s="243">
        <v>31.6</v>
      </c>
      <c r="E817" s="241">
        <v>17.100000000000001</v>
      </c>
      <c r="F817" s="242">
        <v>25</v>
      </c>
      <c r="G817" s="243">
        <v>35.799999999999997</v>
      </c>
      <c r="H817" s="241">
        <v>20.2</v>
      </c>
      <c r="I817" s="242">
        <v>29.7</v>
      </c>
      <c r="J817" s="243">
        <v>42.7</v>
      </c>
      <c r="K817" s="241">
        <v>27.1</v>
      </c>
      <c r="L817" s="242">
        <v>40.1</v>
      </c>
      <c r="M817" s="243">
        <v>57.5</v>
      </c>
      <c r="N817" s="241">
        <v>47.5</v>
      </c>
      <c r="O817" s="242">
        <v>70.099999999999994</v>
      </c>
      <c r="P817" s="243">
        <v>98.5</v>
      </c>
      <c r="Z817" s="244">
        <f t="shared" si="37"/>
        <v>82.099999999999028</v>
      </c>
      <c r="AA817" s="376">
        <f t="shared" si="38"/>
        <v>1.1648561775356595E-5</v>
      </c>
    </row>
    <row r="818" spans="1:27">
      <c r="A818" s="244">
        <f t="shared" si="36"/>
        <v>82.199999999999022</v>
      </c>
      <c r="B818" s="241">
        <v>15.2</v>
      </c>
      <c r="C818" s="242">
        <v>22.1</v>
      </c>
      <c r="D818" s="243">
        <v>31.6</v>
      </c>
      <c r="E818" s="241">
        <v>17</v>
      </c>
      <c r="F818" s="242">
        <v>24.9</v>
      </c>
      <c r="G818" s="243">
        <v>35.799999999999997</v>
      </c>
      <c r="H818" s="241">
        <v>20.100000000000001</v>
      </c>
      <c r="I818" s="242">
        <v>29.7</v>
      </c>
      <c r="J818" s="243">
        <v>42.6</v>
      </c>
      <c r="K818" s="241">
        <v>27</v>
      </c>
      <c r="L818" s="242">
        <v>40</v>
      </c>
      <c r="M818" s="243">
        <v>57.4</v>
      </c>
      <c r="N818" s="241">
        <v>47.3</v>
      </c>
      <c r="O818" s="242">
        <v>69.900000000000006</v>
      </c>
      <c r="P818" s="243">
        <v>98.4</v>
      </c>
      <c r="Z818" s="244">
        <f t="shared" si="37"/>
        <v>82.199999999999022</v>
      </c>
      <c r="AA818" s="376">
        <f t="shared" si="38"/>
        <v>1.1609632996420269E-5</v>
      </c>
    </row>
    <row r="819" spans="1:27">
      <c r="A819" s="244">
        <f t="shared" si="36"/>
        <v>82.299999999999017</v>
      </c>
      <c r="B819" s="241">
        <v>15.1</v>
      </c>
      <c r="C819" s="242">
        <v>22</v>
      </c>
      <c r="D819" s="243">
        <v>31.5</v>
      </c>
      <c r="E819" s="241">
        <v>16.899999999999999</v>
      </c>
      <c r="F819" s="242">
        <v>24.9</v>
      </c>
      <c r="G819" s="243">
        <v>35.700000000000003</v>
      </c>
      <c r="H819" s="241">
        <v>20</v>
      </c>
      <c r="I819" s="242">
        <v>29.6</v>
      </c>
      <c r="J819" s="243">
        <v>42.6</v>
      </c>
      <c r="K819" s="241">
        <v>26.8</v>
      </c>
      <c r="L819" s="242">
        <v>39.9</v>
      </c>
      <c r="M819" s="243">
        <v>57.3</v>
      </c>
      <c r="N819" s="241">
        <v>47</v>
      </c>
      <c r="O819" s="242">
        <v>69.8</v>
      </c>
      <c r="P819" s="243">
        <v>98.3</v>
      </c>
      <c r="Z819" s="244">
        <f t="shared" si="37"/>
        <v>82.299999999999017</v>
      </c>
      <c r="AA819" s="376">
        <f t="shared" si="38"/>
        <v>1.1570881407921443E-5</v>
      </c>
    </row>
    <row r="820" spans="1:27">
      <c r="A820" s="244">
        <f t="shared" si="36"/>
        <v>82.399999999999011</v>
      </c>
      <c r="B820" s="241">
        <v>15</v>
      </c>
      <c r="C820" s="242">
        <v>22</v>
      </c>
      <c r="D820" s="243">
        <v>31.5</v>
      </c>
      <c r="E820" s="241">
        <v>16.899999999999999</v>
      </c>
      <c r="F820" s="242">
        <v>24.8</v>
      </c>
      <c r="G820" s="243">
        <v>35.700000000000003</v>
      </c>
      <c r="H820" s="241">
        <v>19.899999999999999</v>
      </c>
      <c r="I820" s="242">
        <v>29.5</v>
      </c>
      <c r="J820" s="243">
        <v>42.5</v>
      </c>
      <c r="K820" s="241">
        <v>26.7</v>
      </c>
      <c r="L820" s="242">
        <v>39.799999999999997</v>
      </c>
      <c r="M820" s="243">
        <v>57.3</v>
      </c>
      <c r="N820" s="241">
        <v>46.8</v>
      </c>
      <c r="O820" s="242">
        <v>69.599999999999994</v>
      </c>
      <c r="P820" s="243">
        <v>98.2</v>
      </c>
      <c r="Z820" s="244">
        <f t="shared" si="37"/>
        <v>82.399999999999011</v>
      </c>
      <c r="AA820" s="376">
        <f t="shared" si="38"/>
        <v>1.1532305989519407E-5</v>
      </c>
    </row>
    <row r="821" spans="1:27">
      <c r="A821" s="244">
        <f t="shared" si="36"/>
        <v>82.499999999999005</v>
      </c>
      <c r="B821" s="241">
        <v>14.9</v>
      </c>
      <c r="C821" s="242">
        <v>21.9</v>
      </c>
      <c r="D821" s="243">
        <v>31.5</v>
      </c>
      <c r="E821" s="241">
        <v>16.8</v>
      </c>
      <c r="F821" s="242">
        <v>24.8</v>
      </c>
      <c r="G821" s="243">
        <v>35.700000000000003</v>
      </c>
      <c r="H821" s="241">
        <v>19.8</v>
      </c>
      <c r="I821" s="242">
        <v>29.5</v>
      </c>
      <c r="J821" s="243">
        <v>42.5</v>
      </c>
      <c r="K821" s="241">
        <v>26.6</v>
      </c>
      <c r="L821" s="242">
        <v>39.700000000000003</v>
      </c>
      <c r="M821" s="243">
        <v>57.2</v>
      </c>
      <c r="N821" s="241">
        <v>46.6</v>
      </c>
      <c r="O821" s="242">
        <v>69.5</v>
      </c>
      <c r="P821" s="243">
        <v>98.2</v>
      </c>
      <c r="Z821" s="244">
        <f t="shared" si="37"/>
        <v>82.499999999999005</v>
      </c>
      <c r="AA821" s="376">
        <f t="shared" si="38"/>
        <v>1.1493905727977371E-5</v>
      </c>
    </row>
    <row r="822" spans="1:27">
      <c r="A822" s="244">
        <f t="shared" si="36"/>
        <v>82.599999999999</v>
      </c>
      <c r="B822" s="241">
        <v>14.9</v>
      </c>
      <c r="C822" s="242">
        <v>21.9</v>
      </c>
      <c r="D822" s="243">
        <v>31.5</v>
      </c>
      <c r="E822" s="241">
        <v>16.7</v>
      </c>
      <c r="F822" s="242">
        <v>24.7</v>
      </c>
      <c r="G822" s="243">
        <v>35.6</v>
      </c>
      <c r="H822" s="241">
        <v>19.7</v>
      </c>
      <c r="I822" s="242">
        <v>29.4</v>
      </c>
      <c r="J822" s="243">
        <v>42.5</v>
      </c>
      <c r="K822" s="241">
        <v>26.4</v>
      </c>
      <c r="L822" s="242">
        <v>39.6</v>
      </c>
      <c r="M822" s="243">
        <v>57.2</v>
      </c>
      <c r="N822" s="241">
        <v>46.3</v>
      </c>
      <c r="O822" s="242">
        <v>69.3</v>
      </c>
      <c r="P822" s="243">
        <v>98.1</v>
      </c>
      <c r="Z822" s="244">
        <f t="shared" si="37"/>
        <v>82.599999999999</v>
      </c>
      <c r="AA822" s="376">
        <f t="shared" si="38"/>
        <v>1.14556796171045E-5</v>
      </c>
    </row>
    <row r="823" spans="1:27">
      <c r="A823" s="244">
        <f t="shared" si="36"/>
        <v>82.699999999998994</v>
      </c>
      <c r="B823" s="241">
        <v>14.8</v>
      </c>
      <c r="C823" s="242">
        <v>21.8</v>
      </c>
      <c r="D823" s="243">
        <v>31.4</v>
      </c>
      <c r="E823" s="241">
        <v>16.600000000000001</v>
      </c>
      <c r="F823" s="242">
        <v>24.6</v>
      </c>
      <c r="G823" s="243">
        <v>35.6</v>
      </c>
      <c r="H823" s="241">
        <v>19.600000000000001</v>
      </c>
      <c r="I823" s="242">
        <v>29.3</v>
      </c>
      <c r="J823" s="243">
        <v>42.4</v>
      </c>
      <c r="K823" s="241">
        <v>26.3</v>
      </c>
      <c r="L823" s="242">
        <v>39.5</v>
      </c>
      <c r="M823" s="243">
        <v>57.2</v>
      </c>
      <c r="N823" s="241">
        <v>46.1</v>
      </c>
      <c r="O823" s="242">
        <v>69.2</v>
      </c>
      <c r="P823" s="243">
        <v>98</v>
      </c>
      <c r="Z823" s="244">
        <f t="shared" si="37"/>
        <v>82.699999999998994</v>
      </c>
      <c r="AA823" s="376">
        <f t="shared" si="38"/>
        <v>1.1417626657698405E-5</v>
      </c>
    </row>
    <row r="824" spans="1:27">
      <c r="A824" s="244">
        <f t="shared" si="36"/>
        <v>82.799999999998988</v>
      </c>
      <c r="B824" s="241">
        <v>14.7</v>
      </c>
      <c r="C824" s="242">
        <v>21.8</v>
      </c>
      <c r="D824" s="243">
        <v>31.4</v>
      </c>
      <c r="E824" s="241">
        <v>16.5</v>
      </c>
      <c r="F824" s="242">
        <v>24.6</v>
      </c>
      <c r="G824" s="243">
        <v>35.6</v>
      </c>
      <c r="H824" s="241">
        <v>19.5</v>
      </c>
      <c r="I824" s="242">
        <v>29.3</v>
      </c>
      <c r="J824" s="243">
        <v>42.4</v>
      </c>
      <c r="K824" s="241">
        <v>26.2</v>
      </c>
      <c r="L824" s="242">
        <v>39.5</v>
      </c>
      <c r="M824" s="243">
        <v>57.1</v>
      </c>
      <c r="N824" s="241">
        <v>45.9</v>
      </c>
      <c r="O824" s="242">
        <v>69</v>
      </c>
      <c r="P824" s="243">
        <v>97.9</v>
      </c>
      <c r="Z824" s="244">
        <f t="shared" si="37"/>
        <v>82.799999999998988</v>
      </c>
      <c r="AA824" s="376">
        <f t="shared" si="38"/>
        <v>1.1379745857488297E-5</v>
      </c>
    </row>
    <row r="825" spans="1:27">
      <c r="A825" s="244">
        <f t="shared" si="36"/>
        <v>82.899999999998983</v>
      </c>
      <c r="B825" s="241">
        <v>14.7</v>
      </c>
      <c r="C825" s="242">
        <v>21.7</v>
      </c>
      <c r="D825" s="243">
        <v>31.4</v>
      </c>
      <c r="E825" s="241">
        <v>16.5</v>
      </c>
      <c r="F825" s="242">
        <v>24.5</v>
      </c>
      <c r="G825" s="243">
        <v>35.5</v>
      </c>
      <c r="H825" s="241">
        <v>19.5</v>
      </c>
      <c r="I825" s="242">
        <v>29.2</v>
      </c>
      <c r="J825" s="243">
        <v>42.4</v>
      </c>
      <c r="K825" s="241">
        <v>26</v>
      </c>
      <c r="L825" s="242">
        <v>39.4</v>
      </c>
      <c r="M825" s="243">
        <v>57.1</v>
      </c>
      <c r="N825" s="241">
        <v>45.7</v>
      </c>
      <c r="O825" s="242">
        <v>68.900000000000006</v>
      </c>
      <c r="P825" s="243">
        <v>97.9</v>
      </c>
      <c r="Z825" s="244">
        <f t="shared" si="37"/>
        <v>82.899999999998983</v>
      </c>
      <c r="AA825" s="376">
        <f t="shared" si="38"/>
        <v>1.134203623107856E-5</v>
      </c>
    </row>
    <row r="826" spans="1:27">
      <c r="A826" s="244">
        <f t="shared" si="36"/>
        <v>82.999999999998977</v>
      </c>
      <c r="B826" s="241">
        <v>14.6</v>
      </c>
      <c r="C826" s="242">
        <v>21.7</v>
      </c>
      <c r="D826" s="243">
        <v>31.4</v>
      </c>
      <c r="E826" s="241">
        <v>16.399999999999999</v>
      </c>
      <c r="F826" s="242">
        <v>24.5</v>
      </c>
      <c r="G826" s="243">
        <v>35.5</v>
      </c>
      <c r="H826" s="241">
        <v>19.399999999999999</v>
      </c>
      <c r="I826" s="242">
        <v>29.1</v>
      </c>
      <c r="J826" s="243">
        <v>42.3</v>
      </c>
      <c r="K826" s="241">
        <v>25.9</v>
      </c>
      <c r="L826" s="242">
        <v>39.299999999999997</v>
      </c>
      <c r="M826" s="243">
        <v>57</v>
      </c>
      <c r="N826" s="241">
        <v>45.4</v>
      </c>
      <c r="O826" s="242">
        <v>68.7</v>
      </c>
      <c r="P826" s="243">
        <v>97.8</v>
      </c>
      <c r="Z826" s="244">
        <f t="shared" si="37"/>
        <v>82.999999999998977</v>
      </c>
      <c r="AA826" s="376">
        <f t="shared" si="38"/>
        <v>1.1304496799892918E-5</v>
      </c>
    </row>
    <row r="827" spans="1:27">
      <c r="A827" s="244">
        <f t="shared" si="36"/>
        <v>83.099999999998971</v>
      </c>
      <c r="B827" s="241">
        <v>14.5</v>
      </c>
      <c r="C827" s="242">
        <v>21.6</v>
      </c>
      <c r="D827" s="243">
        <v>31.3</v>
      </c>
      <c r="E827" s="241">
        <v>16.3</v>
      </c>
      <c r="F827" s="242">
        <v>24.4</v>
      </c>
      <c r="G827" s="243">
        <v>35.5</v>
      </c>
      <c r="H827" s="241">
        <v>19.3</v>
      </c>
      <c r="I827" s="242">
        <v>29.1</v>
      </c>
      <c r="J827" s="243">
        <v>42.3</v>
      </c>
      <c r="K827" s="241">
        <v>25.8</v>
      </c>
      <c r="L827" s="242">
        <v>39.200000000000003</v>
      </c>
      <c r="M827" s="243">
        <v>57</v>
      </c>
      <c r="N827" s="241">
        <v>45.2</v>
      </c>
      <c r="O827" s="242">
        <v>68.599999999999994</v>
      </c>
      <c r="P827" s="243">
        <v>97.7</v>
      </c>
      <c r="Z827" s="244">
        <f t="shared" si="37"/>
        <v>83.099999999998971</v>
      </c>
      <c r="AA827" s="376">
        <f t="shared" si="38"/>
        <v>1.1267126592119106E-5</v>
      </c>
    </row>
    <row r="828" spans="1:27">
      <c r="A828" s="244">
        <f t="shared" si="36"/>
        <v>83.199999999998965</v>
      </c>
      <c r="B828" s="241">
        <v>14.5</v>
      </c>
      <c r="C828" s="242">
        <v>21.6</v>
      </c>
      <c r="D828" s="243">
        <v>31.3</v>
      </c>
      <c r="E828" s="241">
        <v>16.2</v>
      </c>
      <c r="F828" s="242">
        <v>24.4</v>
      </c>
      <c r="G828" s="243">
        <v>35.5</v>
      </c>
      <c r="H828" s="241">
        <v>19.2</v>
      </c>
      <c r="I828" s="242">
        <v>29</v>
      </c>
      <c r="J828" s="243">
        <v>42.3</v>
      </c>
      <c r="K828" s="241">
        <v>25.7</v>
      </c>
      <c r="L828" s="242">
        <v>39.1</v>
      </c>
      <c r="M828" s="243">
        <v>56.9</v>
      </c>
      <c r="N828" s="241">
        <v>45</v>
      </c>
      <c r="O828" s="242">
        <v>68.400000000000006</v>
      </c>
      <c r="P828" s="243">
        <v>97.7</v>
      </c>
      <c r="Z828" s="244">
        <f t="shared" si="37"/>
        <v>83.199999999998965</v>
      </c>
      <c r="AA828" s="376">
        <f t="shared" si="38"/>
        <v>1.1229924642654036E-5</v>
      </c>
    </row>
    <row r="829" spans="1:27">
      <c r="A829" s="244">
        <f t="shared" si="36"/>
        <v>83.29999999999896</v>
      </c>
      <c r="B829" s="241">
        <v>14.4</v>
      </c>
      <c r="C829" s="242">
        <v>21.5</v>
      </c>
      <c r="D829" s="243">
        <v>31.3</v>
      </c>
      <c r="E829" s="241">
        <v>16.2</v>
      </c>
      <c r="F829" s="242">
        <v>24.3</v>
      </c>
      <c r="G829" s="243">
        <v>35.4</v>
      </c>
      <c r="H829" s="241">
        <v>19.100000000000001</v>
      </c>
      <c r="I829" s="242">
        <v>28.9</v>
      </c>
      <c r="J829" s="243">
        <v>42.3</v>
      </c>
      <c r="K829" s="241">
        <v>25.6</v>
      </c>
      <c r="L829" s="242">
        <v>39</v>
      </c>
      <c r="M829" s="243">
        <v>56.9</v>
      </c>
      <c r="N829" s="241">
        <v>44.8</v>
      </c>
      <c r="O829" s="242">
        <v>68.3</v>
      </c>
      <c r="P829" s="243">
        <v>97.6</v>
      </c>
      <c r="Z829" s="244">
        <f t="shared" si="37"/>
        <v>83.29999999999896</v>
      </c>
      <c r="AA829" s="376">
        <f t="shared" si="38"/>
        <v>1.1192889993049497E-5</v>
      </c>
    </row>
    <row r="830" spans="1:27">
      <c r="A830" s="244">
        <f t="shared" si="36"/>
        <v>83.399999999998954</v>
      </c>
      <c r="B830" s="241">
        <v>14.4</v>
      </c>
      <c r="C830" s="242">
        <v>21.5</v>
      </c>
      <c r="D830" s="243">
        <v>31.3</v>
      </c>
      <c r="E830" s="241">
        <v>16.100000000000001</v>
      </c>
      <c r="F830" s="242">
        <v>24.3</v>
      </c>
      <c r="G830" s="243">
        <v>35.4</v>
      </c>
      <c r="H830" s="241">
        <v>19</v>
      </c>
      <c r="I830" s="242">
        <v>28.9</v>
      </c>
      <c r="J830" s="243">
        <v>42.2</v>
      </c>
      <c r="K830" s="241">
        <v>25.4</v>
      </c>
      <c r="L830" s="242">
        <v>39</v>
      </c>
      <c r="M830" s="243">
        <v>56.9</v>
      </c>
      <c r="N830" s="241">
        <v>44.6</v>
      </c>
      <c r="O830" s="242">
        <v>68.2</v>
      </c>
      <c r="P830" s="243">
        <v>97.6</v>
      </c>
      <c r="Z830" s="244">
        <f t="shared" si="37"/>
        <v>83.399999999998954</v>
      </c>
      <c r="AA830" s="376">
        <f t="shared" si="38"/>
        <v>1.1156021691458359E-5</v>
      </c>
    </row>
    <row r="831" spans="1:27">
      <c r="A831" s="244">
        <f t="shared" si="36"/>
        <v>83.499999999998948</v>
      </c>
      <c r="B831" s="241">
        <v>14.3</v>
      </c>
      <c r="C831" s="242">
        <v>21.5</v>
      </c>
      <c r="D831" s="243">
        <v>31.3</v>
      </c>
      <c r="E831" s="241">
        <v>16</v>
      </c>
      <c r="F831" s="242">
        <v>24.2</v>
      </c>
      <c r="G831" s="243">
        <v>35.4</v>
      </c>
      <c r="H831" s="241">
        <v>18.899999999999999</v>
      </c>
      <c r="I831" s="242">
        <v>28.8</v>
      </c>
      <c r="J831" s="243">
        <v>42.2</v>
      </c>
      <c r="K831" s="241">
        <v>25.3</v>
      </c>
      <c r="L831" s="242">
        <v>38.9</v>
      </c>
      <c r="M831" s="243">
        <v>56.8</v>
      </c>
      <c r="N831" s="241">
        <v>44.4</v>
      </c>
      <c r="O831" s="242">
        <v>68</v>
      </c>
      <c r="P831" s="243">
        <v>97.5</v>
      </c>
      <c r="Z831" s="244">
        <f t="shared" si="37"/>
        <v>83.499999999998948</v>
      </c>
      <c r="AA831" s="376">
        <f t="shared" si="38"/>
        <v>1.1119318792581249E-5</v>
      </c>
    </row>
    <row r="832" spans="1:27">
      <c r="A832" s="244">
        <f t="shared" si="36"/>
        <v>83.599999999998943</v>
      </c>
      <c r="B832" s="241">
        <v>14.2</v>
      </c>
      <c r="C832" s="242">
        <v>21.4</v>
      </c>
      <c r="D832" s="243">
        <v>31.2</v>
      </c>
      <c r="E832" s="241">
        <v>16</v>
      </c>
      <c r="F832" s="242">
        <v>24.2</v>
      </c>
      <c r="G832" s="243">
        <v>35.4</v>
      </c>
      <c r="H832" s="241">
        <v>18.8</v>
      </c>
      <c r="I832" s="242">
        <v>28.8</v>
      </c>
      <c r="J832" s="243">
        <v>42.2</v>
      </c>
      <c r="K832" s="241">
        <v>25.2</v>
      </c>
      <c r="L832" s="242">
        <v>38.799999999999997</v>
      </c>
      <c r="M832" s="243">
        <v>56.8</v>
      </c>
      <c r="N832" s="241">
        <v>44.2</v>
      </c>
      <c r="O832" s="242">
        <v>67.900000000000006</v>
      </c>
      <c r="P832" s="243">
        <v>97.5</v>
      </c>
      <c r="Z832" s="244">
        <f t="shared" si="37"/>
        <v>83.599999999998943</v>
      </c>
      <c r="AA832" s="376">
        <f t="shared" si="38"/>
        <v>1.108278035761374E-5</v>
      </c>
    </row>
    <row r="833" spans="1:27">
      <c r="A833" s="244">
        <f t="shared" si="36"/>
        <v>83.699999999998937</v>
      </c>
      <c r="B833" s="241">
        <v>14.2</v>
      </c>
      <c r="C833" s="242">
        <v>21.4</v>
      </c>
      <c r="D833" s="243">
        <v>31.2</v>
      </c>
      <c r="E833" s="241">
        <v>15.9</v>
      </c>
      <c r="F833" s="242">
        <v>24.1</v>
      </c>
      <c r="G833" s="243">
        <v>35.4</v>
      </c>
      <c r="H833" s="241">
        <v>18.8</v>
      </c>
      <c r="I833" s="242">
        <v>28.7</v>
      </c>
      <c r="J833" s="243">
        <v>42.2</v>
      </c>
      <c r="K833" s="241">
        <v>25.1</v>
      </c>
      <c r="L833" s="242">
        <v>38.700000000000003</v>
      </c>
      <c r="M833" s="243">
        <v>56.8</v>
      </c>
      <c r="N833" s="241">
        <v>44</v>
      </c>
      <c r="O833" s="242">
        <v>67.8</v>
      </c>
      <c r="P833" s="243">
        <v>97.4</v>
      </c>
      <c r="Z833" s="244">
        <f t="shared" si="37"/>
        <v>83.699999999998937</v>
      </c>
      <c r="AA833" s="376">
        <f t="shared" si="38"/>
        <v>1.1046405454194047E-5</v>
      </c>
    </row>
    <row r="834" spans="1:27">
      <c r="A834" s="244">
        <f t="shared" si="36"/>
        <v>83.799999999998931</v>
      </c>
      <c r="B834" s="241">
        <v>14.1</v>
      </c>
      <c r="C834" s="242">
        <v>21.3</v>
      </c>
      <c r="D834" s="243">
        <v>31.2</v>
      </c>
      <c r="E834" s="241">
        <v>15.8</v>
      </c>
      <c r="F834" s="242">
        <v>24.1</v>
      </c>
      <c r="G834" s="243">
        <v>35.299999999999997</v>
      </c>
      <c r="H834" s="241">
        <v>18.7</v>
      </c>
      <c r="I834" s="242">
        <v>28.7</v>
      </c>
      <c r="J834" s="243">
        <v>42.1</v>
      </c>
      <c r="K834" s="241">
        <v>25</v>
      </c>
      <c r="L834" s="242">
        <v>38.700000000000003</v>
      </c>
      <c r="M834" s="243">
        <v>56.8</v>
      </c>
      <c r="N834" s="241">
        <v>43.8</v>
      </c>
      <c r="O834" s="242">
        <v>67.7</v>
      </c>
      <c r="P834" s="243">
        <v>97.4</v>
      </c>
      <c r="Z834" s="244">
        <f t="shared" si="37"/>
        <v>83.799999999998931</v>
      </c>
      <c r="AA834" s="376">
        <f t="shared" si="38"/>
        <v>1.1010193156351172E-5</v>
      </c>
    </row>
    <row r="835" spans="1:27">
      <c r="A835" s="244">
        <f t="shared" si="36"/>
        <v>83.899999999998926</v>
      </c>
      <c r="B835" s="241">
        <v>14.1</v>
      </c>
      <c r="C835" s="242">
        <v>21.3</v>
      </c>
      <c r="D835" s="243">
        <v>31.2</v>
      </c>
      <c r="E835" s="241">
        <v>15.8</v>
      </c>
      <c r="F835" s="242">
        <v>24.1</v>
      </c>
      <c r="G835" s="243">
        <v>35.299999999999997</v>
      </c>
      <c r="H835" s="241">
        <v>18.600000000000001</v>
      </c>
      <c r="I835" s="242">
        <v>28.6</v>
      </c>
      <c r="J835" s="243">
        <v>42.1</v>
      </c>
      <c r="K835" s="241">
        <v>24.9</v>
      </c>
      <c r="L835" s="242">
        <v>38.6</v>
      </c>
      <c r="M835" s="243">
        <v>56.7</v>
      </c>
      <c r="N835" s="241">
        <v>43.6</v>
      </c>
      <c r="O835" s="242">
        <v>67.599999999999994</v>
      </c>
      <c r="P835" s="243">
        <v>97.4</v>
      </c>
      <c r="Z835" s="244">
        <f t="shared" si="37"/>
        <v>83.899999999998926</v>
      </c>
      <c r="AA835" s="376">
        <f t="shared" si="38"/>
        <v>1.0974142544453529E-5</v>
      </c>
    </row>
    <row r="836" spans="1:27">
      <c r="A836" s="244">
        <f t="shared" si="36"/>
        <v>83.99999999999892</v>
      </c>
      <c r="B836" s="241">
        <v>14</v>
      </c>
      <c r="C836" s="242">
        <v>21.3</v>
      </c>
      <c r="D836" s="243">
        <v>31.2</v>
      </c>
      <c r="E836" s="241">
        <v>15.7</v>
      </c>
      <c r="F836" s="242">
        <v>24</v>
      </c>
      <c r="G836" s="243">
        <v>35.299999999999997</v>
      </c>
      <c r="H836" s="241">
        <v>18.5</v>
      </c>
      <c r="I836" s="242">
        <v>28.6</v>
      </c>
      <c r="J836" s="243">
        <v>42.1</v>
      </c>
      <c r="K836" s="241">
        <v>24.8</v>
      </c>
      <c r="L836" s="242">
        <v>38.5</v>
      </c>
      <c r="M836" s="243">
        <v>56.7</v>
      </c>
      <c r="N836" s="241">
        <v>43.4</v>
      </c>
      <c r="O836" s="242">
        <v>67.400000000000006</v>
      </c>
      <c r="P836" s="243">
        <v>97.3</v>
      </c>
      <c r="Z836" s="244">
        <f t="shared" si="37"/>
        <v>83.99999999999892</v>
      </c>
      <c r="AA836" s="376">
        <f t="shared" si="38"/>
        <v>1.0938252705158093E-5</v>
      </c>
    </row>
    <row r="837" spans="1:27">
      <c r="A837" s="244">
        <f t="shared" si="36"/>
        <v>84.099999999998914</v>
      </c>
      <c r="B837" s="241">
        <v>13.9</v>
      </c>
      <c r="C837" s="242">
        <v>21.2</v>
      </c>
      <c r="D837" s="243">
        <v>31.2</v>
      </c>
      <c r="E837" s="241">
        <v>15.6</v>
      </c>
      <c r="F837" s="242">
        <v>24</v>
      </c>
      <c r="G837" s="243">
        <v>35.299999999999997</v>
      </c>
      <c r="H837" s="241">
        <v>18.5</v>
      </c>
      <c r="I837" s="242">
        <v>28.5</v>
      </c>
      <c r="J837" s="243">
        <v>42.1</v>
      </c>
      <c r="K837" s="241">
        <v>24.7</v>
      </c>
      <c r="L837" s="242">
        <v>38.5</v>
      </c>
      <c r="M837" s="243">
        <v>56.7</v>
      </c>
      <c r="N837" s="241">
        <v>43.2</v>
      </c>
      <c r="O837" s="242">
        <v>67.3</v>
      </c>
      <c r="P837" s="243">
        <v>97.3</v>
      </c>
      <c r="Z837" s="244">
        <f t="shared" si="37"/>
        <v>84.099999999998914</v>
      </c>
      <c r="AA837" s="376">
        <f t="shared" si="38"/>
        <v>1.0902522731359942E-5</v>
      </c>
    </row>
    <row r="838" spans="1:27">
      <c r="A838" s="244">
        <f t="shared" si="36"/>
        <v>84.199999999998909</v>
      </c>
      <c r="B838" s="241">
        <v>13.9</v>
      </c>
      <c r="C838" s="242">
        <v>21.2</v>
      </c>
      <c r="D838" s="243">
        <v>31.2</v>
      </c>
      <c r="E838" s="241">
        <v>15.6</v>
      </c>
      <c r="F838" s="242">
        <v>23.9</v>
      </c>
      <c r="G838" s="243">
        <v>35.299999999999997</v>
      </c>
      <c r="H838" s="241">
        <v>18.399999999999999</v>
      </c>
      <c r="I838" s="242">
        <v>28.5</v>
      </c>
      <c r="J838" s="243">
        <v>42.1</v>
      </c>
      <c r="K838" s="241">
        <v>24.6</v>
      </c>
      <c r="L838" s="242">
        <v>38.4</v>
      </c>
      <c r="M838" s="243">
        <v>56.7</v>
      </c>
      <c r="N838" s="241">
        <v>43</v>
      </c>
      <c r="O838" s="242">
        <v>67.2</v>
      </c>
      <c r="P838" s="243">
        <v>97.2</v>
      </c>
      <c r="Z838" s="244">
        <f t="shared" si="37"/>
        <v>84.199999999998909</v>
      </c>
      <c r="AA838" s="376">
        <f t="shared" si="38"/>
        <v>1.0866951722142305E-5</v>
      </c>
    </row>
    <row r="839" spans="1:27">
      <c r="A839" s="244">
        <f t="shared" ref="A839:A902" si="39">A838+0.1</f>
        <v>84.299999999998903</v>
      </c>
      <c r="B839" s="241">
        <v>13.8</v>
      </c>
      <c r="C839" s="242">
        <v>21.2</v>
      </c>
      <c r="D839" s="243">
        <v>31.1</v>
      </c>
      <c r="E839" s="241">
        <v>15.5</v>
      </c>
      <c r="F839" s="242">
        <v>23.9</v>
      </c>
      <c r="G839" s="243">
        <v>35.299999999999997</v>
      </c>
      <c r="H839" s="241">
        <v>18.3</v>
      </c>
      <c r="I839" s="242">
        <v>28.4</v>
      </c>
      <c r="J839" s="243">
        <v>42</v>
      </c>
      <c r="K839" s="241">
        <v>24.5</v>
      </c>
      <c r="L839" s="242">
        <v>38.299999999999997</v>
      </c>
      <c r="M839" s="243">
        <v>56.6</v>
      </c>
      <c r="N839" s="241">
        <v>42.9</v>
      </c>
      <c r="O839" s="242">
        <v>67.099999999999994</v>
      </c>
      <c r="P839" s="243">
        <v>97.2</v>
      </c>
      <c r="Z839" s="244">
        <f t="shared" ref="Z839:Z902" si="40">Z838+0.1</f>
        <v>84.299999999998903</v>
      </c>
      <c r="AA839" s="376">
        <f t="shared" ref="AA839:AA902" si="41">T_gal(Z839)</f>
        <v>1.0831538782727102E-5</v>
      </c>
    </row>
    <row r="840" spans="1:27">
      <c r="A840" s="244">
        <f t="shared" si="39"/>
        <v>84.399999999998897</v>
      </c>
      <c r="B840" s="241">
        <v>13.8</v>
      </c>
      <c r="C840" s="242">
        <v>21.1</v>
      </c>
      <c r="D840" s="243">
        <v>31.1</v>
      </c>
      <c r="E840" s="241">
        <v>15.5</v>
      </c>
      <c r="F840" s="242">
        <v>23.9</v>
      </c>
      <c r="G840" s="243">
        <v>35.299999999999997</v>
      </c>
      <c r="H840" s="241">
        <v>18.2</v>
      </c>
      <c r="I840" s="242">
        <v>28.4</v>
      </c>
      <c r="J840" s="243">
        <v>42</v>
      </c>
      <c r="K840" s="241">
        <v>24.4</v>
      </c>
      <c r="L840" s="242">
        <v>38.299999999999997</v>
      </c>
      <c r="M840" s="243">
        <v>56.6</v>
      </c>
      <c r="N840" s="241">
        <v>42.7</v>
      </c>
      <c r="O840" s="242">
        <v>67</v>
      </c>
      <c r="P840" s="243">
        <v>97.2</v>
      </c>
      <c r="Z840" s="244">
        <f t="shared" si="40"/>
        <v>84.399999999998897</v>
      </c>
      <c r="AA840" s="376">
        <f t="shared" si="41"/>
        <v>1.0796283024425849E-5</v>
      </c>
    </row>
    <row r="841" spans="1:27">
      <c r="A841" s="244">
        <f t="shared" si="39"/>
        <v>84.499999999998892</v>
      </c>
      <c r="B841" s="241">
        <v>13.7</v>
      </c>
      <c r="C841" s="242">
        <v>21.1</v>
      </c>
      <c r="D841" s="243">
        <v>31.1</v>
      </c>
      <c r="E841" s="241">
        <v>15.4</v>
      </c>
      <c r="F841" s="242">
        <v>23.8</v>
      </c>
      <c r="G841" s="243">
        <v>35.299999999999997</v>
      </c>
      <c r="H841" s="241">
        <v>18.2</v>
      </c>
      <c r="I841" s="242">
        <v>28.3</v>
      </c>
      <c r="J841" s="243">
        <v>42</v>
      </c>
      <c r="K841" s="241">
        <v>24.3</v>
      </c>
      <c r="L841" s="242">
        <v>38.200000000000003</v>
      </c>
      <c r="M841" s="243">
        <v>56.6</v>
      </c>
      <c r="N841" s="241">
        <v>42.5</v>
      </c>
      <c r="O841" s="242">
        <v>66.900000000000006</v>
      </c>
      <c r="P841" s="243">
        <v>97.2</v>
      </c>
      <c r="Z841" s="244">
        <f t="shared" si="40"/>
        <v>84.499999999998892</v>
      </c>
      <c r="AA841" s="376">
        <f t="shared" si="41"/>
        <v>1.0761183564591091E-5</v>
      </c>
    </row>
    <row r="842" spans="1:27">
      <c r="A842" s="244">
        <f t="shared" si="39"/>
        <v>84.599999999998886</v>
      </c>
      <c r="B842" s="241">
        <v>13.7</v>
      </c>
      <c r="C842" s="242">
        <v>21.1</v>
      </c>
      <c r="D842" s="243">
        <v>31.1</v>
      </c>
      <c r="E842" s="241">
        <v>15.3</v>
      </c>
      <c r="F842" s="242">
        <v>23.8</v>
      </c>
      <c r="G842" s="243">
        <v>35.200000000000003</v>
      </c>
      <c r="H842" s="241">
        <v>18.100000000000001</v>
      </c>
      <c r="I842" s="242">
        <v>28.3</v>
      </c>
      <c r="J842" s="243">
        <v>42</v>
      </c>
      <c r="K842" s="241">
        <v>24.2</v>
      </c>
      <c r="L842" s="242">
        <v>38.1</v>
      </c>
      <c r="M842" s="243">
        <v>56.6</v>
      </c>
      <c r="N842" s="241">
        <v>42.3</v>
      </c>
      <c r="O842" s="242">
        <v>66.8</v>
      </c>
      <c r="P842" s="243">
        <v>97.1</v>
      </c>
      <c r="Z842" s="244">
        <f t="shared" si="40"/>
        <v>84.599999999998886</v>
      </c>
      <c r="AA842" s="376">
        <f t="shared" si="41"/>
        <v>1.0726239526568251E-5</v>
      </c>
    </row>
    <row r="843" spans="1:27">
      <c r="A843" s="244">
        <f t="shared" si="39"/>
        <v>84.69999999999888</v>
      </c>
      <c r="B843" s="241">
        <v>13.6</v>
      </c>
      <c r="C843" s="242">
        <v>21</v>
      </c>
      <c r="D843" s="243">
        <v>31.1</v>
      </c>
      <c r="E843" s="241">
        <v>15.3</v>
      </c>
      <c r="F843" s="242">
        <v>23.7</v>
      </c>
      <c r="G843" s="243">
        <v>35.200000000000003</v>
      </c>
      <c r="H843" s="241">
        <v>18</v>
      </c>
      <c r="I843" s="242">
        <v>28.2</v>
      </c>
      <c r="J843" s="243">
        <v>42</v>
      </c>
      <c r="K843" s="241">
        <v>24.1</v>
      </c>
      <c r="L843" s="242">
        <v>38.1</v>
      </c>
      <c r="M843" s="243">
        <v>56.6</v>
      </c>
      <c r="N843" s="241">
        <v>42.2</v>
      </c>
      <c r="O843" s="242">
        <v>66.7</v>
      </c>
      <c r="P843" s="243">
        <v>97.1</v>
      </c>
      <c r="Z843" s="244">
        <f t="shared" si="40"/>
        <v>84.69999999999888</v>
      </c>
      <c r="AA843" s="376">
        <f t="shared" si="41"/>
        <v>1.0691450039647921E-5</v>
      </c>
    </row>
    <row r="844" spans="1:27">
      <c r="A844" s="244">
        <f t="shared" si="39"/>
        <v>84.799999999998875</v>
      </c>
      <c r="B844" s="241">
        <v>13.6</v>
      </c>
      <c r="C844" s="242">
        <v>21</v>
      </c>
      <c r="D844" s="243">
        <v>31.1</v>
      </c>
      <c r="E844" s="241">
        <v>15.2</v>
      </c>
      <c r="F844" s="242">
        <v>23.7</v>
      </c>
      <c r="G844" s="243">
        <v>35.200000000000003</v>
      </c>
      <c r="H844" s="241">
        <v>17.899999999999999</v>
      </c>
      <c r="I844" s="242">
        <v>28.2</v>
      </c>
      <c r="J844" s="243">
        <v>42</v>
      </c>
      <c r="K844" s="241">
        <v>24</v>
      </c>
      <c r="L844" s="242">
        <v>38</v>
      </c>
      <c r="M844" s="243">
        <v>56.6</v>
      </c>
      <c r="N844" s="241">
        <v>42</v>
      </c>
      <c r="O844" s="242">
        <v>66.599999999999994</v>
      </c>
      <c r="P844" s="243">
        <v>97.1</v>
      </c>
      <c r="Z844" s="244">
        <f t="shared" si="40"/>
        <v>84.799999999998875</v>
      </c>
      <c r="AA844" s="376">
        <f t="shared" si="41"/>
        <v>1.0656814239018579E-5</v>
      </c>
    </row>
    <row r="845" spans="1:27">
      <c r="A845" s="244">
        <f t="shared" si="39"/>
        <v>84.899999999998869</v>
      </c>
      <c r="B845" s="241">
        <v>13.5</v>
      </c>
      <c r="C845" s="242">
        <v>21</v>
      </c>
      <c r="D845" s="243">
        <v>31.1</v>
      </c>
      <c r="E845" s="241">
        <v>15.2</v>
      </c>
      <c r="F845" s="242">
        <v>23.7</v>
      </c>
      <c r="G845" s="243">
        <v>35.200000000000003</v>
      </c>
      <c r="H845" s="241">
        <v>17.899999999999999</v>
      </c>
      <c r="I845" s="242">
        <v>28.2</v>
      </c>
      <c r="J845" s="243">
        <v>42</v>
      </c>
      <c r="K845" s="241">
        <v>23.9</v>
      </c>
      <c r="L845" s="242">
        <v>38</v>
      </c>
      <c r="M845" s="243">
        <v>56.5</v>
      </c>
      <c r="N845" s="241">
        <v>41.8</v>
      </c>
      <c r="O845" s="242">
        <v>66.5</v>
      </c>
      <c r="P845" s="243">
        <v>97.1</v>
      </c>
      <c r="Z845" s="244">
        <f t="shared" si="40"/>
        <v>84.899999999998869</v>
      </c>
      <c r="AA845" s="376">
        <f t="shared" si="41"/>
        <v>1.0622331265719746E-5</v>
      </c>
    </row>
    <row r="846" spans="1:27">
      <c r="A846" s="244">
        <f t="shared" si="39"/>
        <v>84.999999999998863</v>
      </c>
      <c r="B846" s="241">
        <v>13.5</v>
      </c>
      <c r="C846" s="242">
        <v>20.9</v>
      </c>
      <c r="D846" s="243">
        <v>31.1</v>
      </c>
      <c r="E846" s="241">
        <v>15.1</v>
      </c>
      <c r="F846" s="242">
        <v>23.6</v>
      </c>
      <c r="G846" s="243">
        <v>35.200000000000003</v>
      </c>
      <c r="H846" s="241">
        <v>17.8</v>
      </c>
      <c r="I846" s="242">
        <v>28.1</v>
      </c>
      <c r="J846" s="243">
        <v>42</v>
      </c>
      <c r="K846" s="241">
        <v>23.8</v>
      </c>
      <c r="L846" s="242">
        <v>37.9</v>
      </c>
      <c r="M846" s="243">
        <v>56.5</v>
      </c>
      <c r="N846" s="241">
        <v>41.7</v>
      </c>
      <c r="O846" s="242">
        <v>66.400000000000006</v>
      </c>
      <c r="P846" s="243">
        <v>97.1</v>
      </c>
      <c r="Z846" s="244">
        <f t="shared" si="40"/>
        <v>84.999999999998863</v>
      </c>
      <c r="AA846" s="376">
        <f t="shared" si="41"/>
        <v>1.0588000266595583E-5</v>
      </c>
    </row>
    <row r="847" spans="1:27">
      <c r="A847" s="244">
        <f t="shared" si="39"/>
        <v>85.099999999998857</v>
      </c>
      <c r="B847" s="241">
        <v>13.4</v>
      </c>
      <c r="C847" s="242">
        <v>20.9</v>
      </c>
      <c r="D847" s="243">
        <v>31.1</v>
      </c>
      <c r="E847" s="241">
        <v>15.1</v>
      </c>
      <c r="F847" s="242">
        <v>23.6</v>
      </c>
      <c r="G847" s="243">
        <v>35.200000000000003</v>
      </c>
      <c r="H847" s="241">
        <v>17.7</v>
      </c>
      <c r="I847" s="242">
        <v>28.1</v>
      </c>
      <c r="J847" s="243">
        <v>42</v>
      </c>
      <c r="K847" s="241">
        <v>23.7</v>
      </c>
      <c r="L847" s="242">
        <v>37.9</v>
      </c>
      <c r="M847" s="243">
        <v>56.5</v>
      </c>
      <c r="N847" s="241">
        <v>41.5</v>
      </c>
      <c r="O847" s="242">
        <v>66.3</v>
      </c>
      <c r="P847" s="243">
        <v>97</v>
      </c>
      <c r="Z847" s="244">
        <f t="shared" si="40"/>
        <v>85.099999999998857</v>
      </c>
      <c r="AA847" s="376">
        <f t="shared" si="41"/>
        <v>1.0553820394248888E-5</v>
      </c>
    </row>
    <row r="848" spans="1:27">
      <c r="A848" s="244">
        <f t="shared" si="39"/>
        <v>85.199999999998852</v>
      </c>
      <c r="B848" s="241">
        <v>13.4</v>
      </c>
      <c r="C848" s="242">
        <v>20.9</v>
      </c>
      <c r="D848" s="243">
        <v>31.1</v>
      </c>
      <c r="E848" s="241">
        <v>15</v>
      </c>
      <c r="F848" s="242">
        <v>23.6</v>
      </c>
      <c r="G848" s="243">
        <v>35.200000000000003</v>
      </c>
      <c r="H848" s="241">
        <v>17.7</v>
      </c>
      <c r="I848" s="242">
        <v>28</v>
      </c>
      <c r="J848" s="243">
        <v>42</v>
      </c>
      <c r="K848" s="241">
        <v>23.6</v>
      </c>
      <c r="L848" s="242">
        <v>37.799999999999997</v>
      </c>
      <c r="M848" s="243">
        <v>56.5</v>
      </c>
      <c r="N848" s="241">
        <v>41.3</v>
      </c>
      <c r="O848" s="242">
        <v>66.2</v>
      </c>
      <c r="P848" s="243">
        <v>97</v>
      </c>
      <c r="Z848" s="244">
        <f t="shared" si="40"/>
        <v>85.199999999998852</v>
      </c>
      <c r="AA848" s="376">
        <f t="shared" si="41"/>
        <v>1.0519790806995521E-5</v>
      </c>
    </row>
    <row r="849" spans="1:27">
      <c r="A849" s="244">
        <f t="shared" si="39"/>
        <v>85.299999999998846</v>
      </c>
      <c r="B849" s="241">
        <v>13.3</v>
      </c>
      <c r="C849" s="242">
        <v>20.8</v>
      </c>
      <c r="D849" s="243">
        <v>31.1</v>
      </c>
      <c r="E849" s="241">
        <v>14.9</v>
      </c>
      <c r="F849" s="242">
        <v>23.5</v>
      </c>
      <c r="G849" s="243">
        <v>35.200000000000003</v>
      </c>
      <c r="H849" s="241">
        <v>17.600000000000001</v>
      </c>
      <c r="I849" s="242">
        <v>28</v>
      </c>
      <c r="J849" s="243">
        <v>42</v>
      </c>
      <c r="K849" s="241">
        <v>23.5</v>
      </c>
      <c r="L849" s="242">
        <v>37.799999999999997</v>
      </c>
      <c r="M849" s="243">
        <v>56.5</v>
      </c>
      <c r="N849" s="241">
        <v>41.2</v>
      </c>
      <c r="O849" s="242">
        <v>66.099999999999994</v>
      </c>
      <c r="P849" s="243">
        <v>97</v>
      </c>
      <c r="Z849" s="244">
        <f t="shared" si="40"/>
        <v>85.299999999998846</v>
      </c>
      <c r="AA849" s="376">
        <f t="shared" si="41"/>
        <v>1.0485910668819234E-5</v>
      </c>
    </row>
    <row r="850" spans="1:27">
      <c r="A850" s="244">
        <f t="shared" si="39"/>
        <v>85.39999999999884</v>
      </c>
      <c r="B850" s="241">
        <v>13.3</v>
      </c>
      <c r="C850" s="242">
        <v>20.8</v>
      </c>
      <c r="D850" s="243">
        <v>31.1</v>
      </c>
      <c r="E850" s="241">
        <v>14.9</v>
      </c>
      <c r="F850" s="242">
        <v>23.5</v>
      </c>
      <c r="G850" s="243">
        <v>35.200000000000003</v>
      </c>
      <c r="H850" s="241">
        <v>17.5</v>
      </c>
      <c r="I850" s="242">
        <v>28</v>
      </c>
      <c r="J850" s="243">
        <v>41.9</v>
      </c>
      <c r="K850" s="241">
        <v>23.4</v>
      </c>
      <c r="L850" s="242">
        <v>37.700000000000003</v>
      </c>
      <c r="M850" s="243">
        <v>56.5</v>
      </c>
      <c r="N850" s="241">
        <v>41</v>
      </c>
      <c r="O850" s="242">
        <v>66.099999999999994</v>
      </c>
      <c r="P850" s="243">
        <v>97</v>
      </c>
      <c r="Z850" s="244">
        <f t="shared" si="40"/>
        <v>85.39999999999884</v>
      </c>
      <c r="AA850" s="376">
        <f t="shared" si="41"/>
        <v>1.0452179149326924E-5</v>
      </c>
    </row>
    <row r="851" spans="1:27">
      <c r="A851" s="244">
        <f t="shared" si="39"/>
        <v>85.499999999998835</v>
      </c>
      <c r="B851" s="241">
        <v>13.2</v>
      </c>
      <c r="C851" s="242">
        <v>20.8</v>
      </c>
      <c r="D851" s="243">
        <v>31.1</v>
      </c>
      <c r="E851" s="241">
        <v>14.8</v>
      </c>
      <c r="F851" s="242">
        <v>23.5</v>
      </c>
      <c r="G851" s="243">
        <v>35.200000000000003</v>
      </c>
      <c r="H851" s="241">
        <v>17.5</v>
      </c>
      <c r="I851" s="242">
        <v>27.9</v>
      </c>
      <c r="J851" s="243">
        <v>41.9</v>
      </c>
      <c r="K851" s="241">
        <v>23.3</v>
      </c>
      <c r="L851" s="242">
        <v>37.700000000000003</v>
      </c>
      <c r="M851" s="243">
        <v>56.5</v>
      </c>
      <c r="N851" s="241">
        <v>40.9</v>
      </c>
      <c r="O851" s="242">
        <v>66</v>
      </c>
      <c r="P851" s="243">
        <v>97</v>
      </c>
      <c r="Z851" s="244">
        <f t="shared" si="40"/>
        <v>85.499999999998835</v>
      </c>
      <c r="AA851" s="376">
        <f t="shared" si="41"/>
        <v>1.0418595423704302E-5</v>
      </c>
    </row>
    <row r="852" spans="1:27">
      <c r="A852" s="244">
        <f t="shared" si="39"/>
        <v>85.599999999998829</v>
      </c>
      <c r="B852" s="241">
        <v>13.2</v>
      </c>
      <c r="C852" s="242">
        <v>20.8</v>
      </c>
      <c r="D852" s="243">
        <v>31.1</v>
      </c>
      <c r="E852" s="241">
        <v>14.8</v>
      </c>
      <c r="F852" s="242">
        <v>23.5</v>
      </c>
      <c r="G852" s="243">
        <v>35.200000000000003</v>
      </c>
      <c r="H852" s="241">
        <v>17.399999999999999</v>
      </c>
      <c r="I852" s="242">
        <v>27.9</v>
      </c>
      <c r="J852" s="243">
        <v>41.9</v>
      </c>
      <c r="K852" s="241">
        <v>23.2</v>
      </c>
      <c r="L852" s="242">
        <v>37.6</v>
      </c>
      <c r="M852" s="243">
        <v>56.5</v>
      </c>
      <c r="N852" s="241">
        <v>40.700000000000003</v>
      </c>
      <c r="O852" s="242">
        <v>65.900000000000006</v>
      </c>
      <c r="P852" s="243">
        <v>97</v>
      </c>
      <c r="Z852" s="244">
        <f t="shared" si="40"/>
        <v>85.599999999998829</v>
      </c>
      <c r="AA852" s="376">
        <f t="shared" si="41"/>
        <v>1.0385158672671917E-5</v>
      </c>
    </row>
    <row r="853" spans="1:27">
      <c r="A853" s="244">
        <f t="shared" si="39"/>
        <v>85.699999999998823</v>
      </c>
      <c r="B853" s="241">
        <v>13.2</v>
      </c>
      <c r="C853" s="242">
        <v>20.7</v>
      </c>
      <c r="D853" s="243">
        <v>31.1</v>
      </c>
      <c r="E853" s="241">
        <v>14.7</v>
      </c>
      <c r="F853" s="242">
        <v>23.4</v>
      </c>
      <c r="G853" s="243">
        <v>35.200000000000003</v>
      </c>
      <c r="H853" s="241">
        <v>17.399999999999999</v>
      </c>
      <c r="I853" s="242">
        <v>27.9</v>
      </c>
      <c r="J853" s="243">
        <v>41.9</v>
      </c>
      <c r="K853" s="241">
        <v>23.2</v>
      </c>
      <c r="L853" s="242">
        <v>37.6</v>
      </c>
      <c r="M853" s="243">
        <v>56.5</v>
      </c>
      <c r="N853" s="241">
        <v>40.6</v>
      </c>
      <c r="O853" s="242">
        <v>65.8</v>
      </c>
      <c r="P853" s="243">
        <v>97</v>
      </c>
      <c r="Z853" s="244">
        <f t="shared" si="40"/>
        <v>85.699999999998823</v>
      </c>
      <c r="AA853" s="376">
        <f t="shared" si="41"/>
        <v>1.0351868082441621E-5</v>
      </c>
    </row>
    <row r="854" spans="1:27">
      <c r="A854" s="244">
        <f t="shared" si="39"/>
        <v>85.799999999998818</v>
      </c>
      <c r="B854" s="241">
        <v>13.1</v>
      </c>
      <c r="C854" s="242">
        <v>20.7</v>
      </c>
      <c r="D854" s="243">
        <v>31.1</v>
      </c>
      <c r="E854" s="241">
        <v>14.7</v>
      </c>
      <c r="F854" s="242">
        <v>23.4</v>
      </c>
      <c r="G854" s="243">
        <v>35.200000000000003</v>
      </c>
      <c r="H854" s="241">
        <v>17.3</v>
      </c>
      <c r="I854" s="242">
        <v>27.8</v>
      </c>
      <c r="J854" s="243">
        <v>41.9</v>
      </c>
      <c r="K854" s="241">
        <v>23.1</v>
      </c>
      <c r="L854" s="242">
        <v>37.5</v>
      </c>
      <c r="M854" s="243">
        <v>56.5</v>
      </c>
      <c r="N854" s="241">
        <v>40.4</v>
      </c>
      <c r="O854" s="242">
        <v>65.8</v>
      </c>
      <c r="P854" s="243">
        <v>97</v>
      </c>
      <c r="Z854" s="244">
        <f t="shared" si="40"/>
        <v>85.799999999998818</v>
      </c>
      <c r="AA854" s="376">
        <f t="shared" si="41"/>
        <v>1.031872284467341E-5</v>
      </c>
    </row>
    <row r="855" spans="1:27">
      <c r="A855" s="244">
        <f t="shared" si="39"/>
        <v>85.899999999998812</v>
      </c>
      <c r="B855" s="241">
        <v>13.1</v>
      </c>
      <c r="C855" s="242">
        <v>20.7</v>
      </c>
      <c r="D855" s="243">
        <v>31.1</v>
      </c>
      <c r="E855" s="241">
        <v>14.6</v>
      </c>
      <c r="F855" s="242">
        <v>23.4</v>
      </c>
      <c r="G855" s="243">
        <v>35.200000000000003</v>
      </c>
      <c r="H855" s="241">
        <v>17.2</v>
      </c>
      <c r="I855" s="242">
        <v>27.8</v>
      </c>
      <c r="J855" s="243">
        <v>41.9</v>
      </c>
      <c r="K855" s="241">
        <v>23</v>
      </c>
      <c r="L855" s="242">
        <v>37.5</v>
      </c>
      <c r="M855" s="243">
        <v>56.5</v>
      </c>
      <c r="N855" s="241">
        <v>40.299999999999997</v>
      </c>
      <c r="O855" s="242">
        <v>65.7</v>
      </c>
      <c r="P855" s="243">
        <v>97</v>
      </c>
      <c r="Z855" s="244">
        <f t="shared" si="40"/>
        <v>85.899999999998812</v>
      </c>
      <c r="AA855" s="376">
        <f t="shared" si="41"/>
        <v>1.0285722156432666E-5</v>
      </c>
    </row>
    <row r="856" spans="1:27">
      <c r="A856" s="244">
        <f t="shared" si="39"/>
        <v>85.999999999998806</v>
      </c>
      <c r="B856" s="241">
        <v>13</v>
      </c>
      <c r="C856" s="242">
        <v>20.7</v>
      </c>
      <c r="D856" s="243">
        <v>31.1</v>
      </c>
      <c r="E856" s="241">
        <v>14.6</v>
      </c>
      <c r="F856" s="242">
        <v>23.3</v>
      </c>
      <c r="G856" s="243">
        <v>35.200000000000003</v>
      </c>
      <c r="H856" s="241">
        <v>17.2</v>
      </c>
      <c r="I856" s="242">
        <v>27.8</v>
      </c>
      <c r="J856" s="243">
        <v>41.9</v>
      </c>
      <c r="K856" s="241">
        <v>22.9</v>
      </c>
      <c r="L856" s="242">
        <v>37.4</v>
      </c>
      <c r="M856" s="243">
        <v>56.5</v>
      </c>
      <c r="N856" s="241">
        <v>40.1</v>
      </c>
      <c r="O856" s="242">
        <v>65.599999999999994</v>
      </c>
      <c r="P856" s="243">
        <v>97</v>
      </c>
      <c r="Z856" s="244">
        <f t="shared" si="40"/>
        <v>85.999999999998806</v>
      </c>
      <c r="AA856" s="376">
        <f t="shared" si="41"/>
        <v>1.0252865220147758E-5</v>
      </c>
    </row>
    <row r="857" spans="1:27">
      <c r="A857" s="244">
        <f t="shared" si="39"/>
        <v>86.099999999998801</v>
      </c>
      <c r="B857" s="241">
        <v>13</v>
      </c>
      <c r="C857" s="242">
        <v>20.7</v>
      </c>
      <c r="D857" s="243">
        <v>31.1</v>
      </c>
      <c r="E857" s="241">
        <v>14.5</v>
      </c>
      <c r="F857" s="242">
        <v>23.3</v>
      </c>
      <c r="G857" s="243">
        <v>35.200000000000003</v>
      </c>
      <c r="H857" s="241">
        <v>17.100000000000001</v>
      </c>
      <c r="I857" s="242">
        <v>27.7</v>
      </c>
      <c r="J857" s="243">
        <v>41.9</v>
      </c>
      <c r="K857" s="241">
        <v>22.8</v>
      </c>
      <c r="L857" s="242">
        <v>37.4</v>
      </c>
      <c r="M857" s="243">
        <v>56.5</v>
      </c>
      <c r="N857" s="241">
        <v>40</v>
      </c>
      <c r="O857" s="242">
        <v>65.5</v>
      </c>
      <c r="P857" s="243">
        <v>97</v>
      </c>
      <c r="Z857" s="244">
        <f t="shared" si="40"/>
        <v>86.099999999998801</v>
      </c>
      <c r="AA857" s="376">
        <f t="shared" si="41"/>
        <v>1.0220151243568046E-5</v>
      </c>
    </row>
    <row r="858" spans="1:27">
      <c r="A858" s="244">
        <f t="shared" si="39"/>
        <v>86.199999999998795</v>
      </c>
      <c r="B858" s="241">
        <v>12.9</v>
      </c>
      <c r="C858" s="242">
        <v>20.6</v>
      </c>
      <c r="D858" s="243">
        <v>31.1</v>
      </c>
      <c r="E858" s="241">
        <v>14.5</v>
      </c>
      <c r="F858" s="242">
        <v>23.3</v>
      </c>
      <c r="G858" s="243">
        <v>35.200000000000003</v>
      </c>
      <c r="H858" s="241">
        <v>17.100000000000001</v>
      </c>
      <c r="I858" s="242">
        <v>27.7</v>
      </c>
      <c r="J858" s="243">
        <v>41.9</v>
      </c>
      <c r="K858" s="241">
        <v>22.8</v>
      </c>
      <c r="L858" s="242">
        <v>37.4</v>
      </c>
      <c r="M858" s="243">
        <v>56.5</v>
      </c>
      <c r="N858" s="241">
        <v>39.799999999999997</v>
      </c>
      <c r="O858" s="242">
        <v>65.5</v>
      </c>
      <c r="P858" s="243">
        <v>97</v>
      </c>
      <c r="Z858" s="244">
        <f t="shared" si="40"/>
        <v>86.199999999998795</v>
      </c>
      <c r="AA858" s="376">
        <f t="shared" si="41"/>
        <v>1.0187579439722265E-5</v>
      </c>
    </row>
    <row r="859" spans="1:27">
      <c r="A859" s="244">
        <f t="shared" si="39"/>
        <v>86.299999999998789</v>
      </c>
      <c r="B859" s="241">
        <v>12.9</v>
      </c>
      <c r="C859" s="242">
        <v>20.6</v>
      </c>
      <c r="D859" s="243">
        <v>31.1</v>
      </c>
      <c r="E859" s="241">
        <v>14.4</v>
      </c>
      <c r="F859" s="242">
        <v>23.3</v>
      </c>
      <c r="G859" s="243">
        <v>35.200000000000003</v>
      </c>
      <c r="H859" s="241">
        <v>17</v>
      </c>
      <c r="I859" s="242">
        <v>27.7</v>
      </c>
      <c r="J859" s="243">
        <v>41.9</v>
      </c>
      <c r="K859" s="241">
        <v>22.7</v>
      </c>
      <c r="L859" s="242">
        <v>37.299999999999997</v>
      </c>
      <c r="M859" s="243">
        <v>56.5</v>
      </c>
      <c r="N859" s="241">
        <v>39.700000000000003</v>
      </c>
      <c r="O859" s="242">
        <v>65.400000000000006</v>
      </c>
      <c r="P859" s="243">
        <v>97</v>
      </c>
      <c r="Z859" s="244">
        <f t="shared" si="40"/>
        <v>86.299999999998789</v>
      </c>
      <c r="AA859" s="376">
        <f t="shared" si="41"/>
        <v>1.0155149026877266E-5</v>
      </c>
    </row>
    <row r="860" spans="1:27">
      <c r="A860" s="244">
        <f t="shared" si="39"/>
        <v>86.399999999998784</v>
      </c>
      <c r="B860" s="241">
        <v>12.9</v>
      </c>
      <c r="C860" s="242">
        <v>20.6</v>
      </c>
      <c r="D860" s="243">
        <v>31.1</v>
      </c>
      <c r="E860" s="241">
        <v>14.4</v>
      </c>
      <c r="F860" s="242">
        <v>23.2</v>
      </c>
      <c r="G860" s="243">
        <v>35.200000000000003</v>
      </c>
      <c r="H860" s="241">
        <v>17</v>
      </c>
      <c r="I860" s="242">
        <v>27.6</v>
      </c>
      <c r="J860" s="243">
        <v>42</v>
      </c>
      <c r="K860" s="241">
        <v>22.6</v>
      </c>
      <c r="L860" s="242">
        <v>37.299999999999997</v>
      </c>
      <c r="M860" s="243">
        <v>56.5</v>
      </c>
      <c r="N860" s="241">
        <v>39.6</v>
      </c>
      <c r="O860" s="242">
        <v>65.3</v>
      </c>
      <c r="P860" s="243">
        <v>97</v>
      </c>
      <c r="Z860" s="244">
        <f t="shared" si="40"/>
        <v>86.399999999998784</v>
      </c>
      <c r="AA860" s="376">
        <f t="shared" si="41"/>
        <v>1.0122859228497128E-5</v>
      </c>
    </row>
    <row r="861" spans="1:27">
      <c r="A861" s="244">
        <f t="shared" si="39"/>
        <v>86.499999999998778</v>
      </c>
      <c r="B861" s="241">
        <v>12.8</v>
      </c>
      <c r="C861" s="242">
        <v>20.6</v>
      </c>
      <c r="D861" s="243">
        <v>31.1</v>
      </c>
      <c r="E861" s="241">
        <v>14.4</v>
      </c>
      <c r="F861" s="242">
        <v>23.2</v>
      </c>
      <c r="G861" s="243">
        <v>35.200000000000003</v>
      </c>
      <c r="H861" s="241">
        <v>16.899999999999999</v>
      </c>
      <c r="I861" s="242">
        <v>27.6</v>
      </c>
      <c r="J861" s="243">
        <v>42</v>
      </c>
      <c r="K861" s="241">
        <v>22.5</v>
      </c>
      <c r="L861" s="242">
        <v>37.200000000000003</v>
      </c>
      <c r="M861" s="243">
        <v>56.5</v>
      </c>
      <c r="N861" s="241">
        <v>39.4</v>
      </c>
      <c r="O861" s="242">
        <v>65.3</v>
      </c>
      <c r="P861" s="243">
        <v>97.1</v>
      </c>
      <c r="Z861" s="244">
        <f t="shared" si="40"/>
        <v>86.499999999998778</v>
      </c>
      <c r="AA861" s="376">
        <f t="shared" si="41"/>
        <v>1.0090709273202667E-5</v>
      </c>
    </row>
    <row r="862" spans="1:27">
      <c r="A862" s="244">
        <f t="shared" si="39"/>
        <v>86.599999999998772</v>
      </c>
      <c r="B862" s="241">
        <v>12.8</v>
      </c>
      <c r="C862" s="242">
        <v>20.6</v>
      </c>
      <c r="D862" s="243">
        <v>31.1</v>
      </c>
      <c r="E862" s="241">
        <v>14.3</v>
      </c>
      <c r="F862" s="242">
        <v>23.2</v>
      </c>
      <c r="G862" s="243">
        <v>35.200000000000003</v>
      </c>
      <c r="H862" s="241">
        <v>16.8</v>
      </c>
      <c r="I862" s="242">
        <v>27.6</v>
      </c>
      <c r="J862" s="243">
        <v>42</v>
      </c>
      <c r="K862" s="241">
        <v>22.5</v>
      </c>
      <c r="L862" s="242">
        <v>37.200000000000003</v>
      </c>
      <c r="M862" s="243">
        <v>56.5</v>
      </c>
      <c r="N862" s="241">
        <v>39.299999999999997</v>
      </c>
      <c r="O862" s="242">
        <v>65.2</v>
      </c>
      <c r="P862" s="243">
        <v>97.1</v>
      </c>
      <c r="Z862" s="244">
        <f t="shared" si="40"/>
        <v>86.599999999998772</v>
      </c>
      <c r="AA862" s="376">
        <f t="shared" si="41"/>
        <v>1.0058698394731254E-5</v>
      </c>
    </row>
    <row r="863" spans="1:27">
      <c r="A863" s="244">
        <f t="shared" si="39"/>
        <v>86.699999999998766</v>
      </c>
      <c r="B863" s="241">
        <v>12.8</v>
      </c>
      <c r="C863" s="242">
        <v>20.5</v>
      </c>
      <c r="D863" s="243">
        <v>31.1</v>
      </c>
      <c r="E863" s="241">
        <v>14.3</v>
      </c>
      <c r="F863" s="242">
        <v>23.2</v>
      </c>
      <c r="G863" s="243">
        <v>35.200000000000003</v>
      </c>
      <c r="H863" s="241">
        <v>16.8</v>
      </c>
      <c r="I863" s="242">
        <v>27.6</v>
      </c>
      <c r="J863" s="243">
        <v>42</v>
      </c>
      <c r="K863" s="241">
        <v>22.4</v>
      </c>
      <c r="L863" s="242">
        <v>37.200000000000003</v>
      </c>
      <c r="M863" s="243">
        <v>56.5</v>
      </c>
      <c r="N863" s="241">
        <v>39.200000000000003</v>
      </c>
      <c r="O863" s="242">
        <v>65.2</v>
      </c>
      <c r="P863" s="243">
        <v>97.1</v>
      </c>
      <c r="Z863" s="244">
        <f t="shared" si="40"/>
        <v>86.699999999998766</v>
      </c>
      <c r="AA863" s="376">
        <f t="shared" si="41"/>
        <v>1.0026825831897031E-5</v>
      </c>
    </row>
    <row r="864" spans="1:27">
      <c r="A864" s="244">
        <f t="shared" si="39"/>
        <v>86.799999999998761</v>
      </c>
      <c r="B864" s="241">
        <v>12.7</v>
      </c>
      <c r="C864" s="242">
        <v>20.5</v>
      </c>
      <c r="D864" s="243">
        <v>31.1</v>
      </c>
      <c r="E864" s="241">
        <v>14.2</v>
      </c>
      <c r="F864" s="242">
        <v>23.2</v>
      </c>
      <c r="G864" s="243">
        <v>35.200000000000003</v>
      </c>
      <c r="H864" s="241">
        <v>16.7</v>
      </c>
      <c r="I864" s="242">
        <v>27.5</v>
      </c>
      <c r="J864" s="243">
        <v>42</v>
      </c>
      <c r="K864" s="241">
        <v>22.3</v>
      </c>
      <c r="L864" s="242">
        <v>37.1</v>
      </c>
      <c r="M864" s="243">
        <v>56.6</v>
      </c>
      <c r="N864" s="241">
        <v>39</v>
      </c>
      <c r="O864" s="242">
        <v>65.099999999999994</v>
      </c>
      <c r="P864" s="243">
        <v>97.1</v>
      </c>
      <c r="Z864" s="244">
        <f t="shared" si="40"/>
        <v>86.799999999998761</v>
      </c>
      <c r="AA864" s="376">
        <f t="shared" si="41"/>
        <v>9.9950908285514892E-6</v>
      </c>
    </row>
    <row r="865" spans="1:27">
      <c r="A865" s="244">
        <f t="shared" si="39"/>
        <v>86.899999999998755</v>
      </c>
      <c r="B865" s="241">
        <v>12.7</v>
      </c>
      <c r="C865" s="242">
        <v>20.5</v>
      </c>
      <c r="D865" s="243">
        <v>31.1</v>
      </c>
      <c r="E865" s="241">
        <v>14.2</v>
      </c>
      <c r="F865" s="242">
        <v>23.1</v>
      </c>
      <c r="G865" s="243">
        <v>35.200000000000003</v>
      </c>
      <c r="H865" s="241">
        <v>16.7</v>
      </c>
      <c r="I865" s="242">
        <v>27.5</v>
      </c>
      <c r="J865" s="243">
        <v>42</v>
      </c>
      <c r="K865" s="241">
        <v>22.2</v>
      </c>
      <c r="L865" s="242">
        <v>37.1</v>
      </c>
      <c r="M865" s="243">
        <v>56.6</v>
      </c>
      <c r="N865" s="241">
        <v>38.9</v>
      </c>
      <c r="O865" s="242">
        <v>65.099999999999994</v>
      </c>
      <c r="P865" s="243">
        <v>97.1</v>
      </c>
      <c r="Z865" s="244">
        <f t="shared" si="40"/>
        <v>86.899999999998755</v>
      </c>
      <c r="AA865" s="376">
        <f t="shared" si="41"/>
        <v>9.9634926335443409E-6</v>
      </c>
    </row>
    <row r="866" spans="1:27">
      <c r="A866" s="244">
        <f t="shared" si="39"/>
        <v>86.999999999998749</v>
      </c>
      <c r="B866" s="241">
        <v>12.6</v>
      </c>
      <c r="C866" s="242">
        <v>20.5</v>
      </c>
      <c r="D866" s="243">
        <v>31.1</v>
      </c>
      <c r="E866" s="241">
        <v>14.1</v>
      </c>
      <c r="F866" s="242">
        <v>23.1</v>
      </c>
      <c r="G866" s="243">
        <v>35.200000000000003</v>
      </c>
      <c r="H866" s="241">
        <v>16.600000000000001</v>
      </c>
      <c r="I866" s="242">
        <v>27.5</v>
      </c>
      <c r="J866" s="243">
        <v>42</v>
      </c>
      <c r="K866" s="241">
        <v>22.2</v>
      </c>
      <c r="L866" s="242">
        <v>37.1</v>
      </c>
      <c r="M866" s="243">
        <v>56.6</v>
      </c>
      <c r="N866" s="241">
        <v>38.799999999999997</v>
      </c>
      <c r="O866" s="242">
        <v>65</v>
      </c>
      <c r="P866" s="243">
        <v>97.1</v>
      </c>
      <c r="Z866" s="244">
        <f t="shared" si="40"/>
        <v>86.999999999998749</v>
      </c>
      <c r="AA866" s="376">
        <f t="shared" si="41"/>
        <v>9.9320305006848219E-6</v>
      </c>
    </row>
    <row r="867" spans="1:27">
      <c r="A867" s="244">
        <f t="shared" si="39"/>
        <v>87.099999999998744</v>
      </c>
      <c r="B867" s="241">
        <v>12.6</v>
      </c>
      <c r="C867" s="242">
        <v>20.5</v>
      </c>
      <c r="D867" s="243">
        <v>31.1</v>
      </c>
      <c r="E867" s="241">
        <v>14.1</v>
      </c>
      <c r="F867" s="242">
        <v>23.1</v>
      </c>
      <c r="G867" s="243">
        <v>35.200000000000003</v>
      </c>
      <c r="H867" s="241">
        <v>16.600000000000001</v>
      </c>
      <c r="I867" s="242">
        <v>27.5</v>
      </c>
      <c r="J867" s="243">
        <v>42</v>
      </c>
      <c r="K867" s="241">
        <v>22.1</v>
      </c>
      <c r="L867" s="242">
        <v>37</v>
      </c>
      <c r="M867" s="243">
        <v>56.6</v>
      </c>
      <c r="N867" s="241">
        <v>38.700000000000003</v>
      </c>
      <c r="O867" s="242">
        <v>64.900000000000006</v>
      </c>
      <c r="P867" s="243">
        <v>97.2</v>
      </c>
      <c r="Z867" s="244">
        <f t="shared" si="40"/>
        <v>87.099999999998744</v>
      </c>
      <c r="AA867" s="376">
        <f t="shared" si="41"/>
        <v>9.9007036887032751E-6</v>
      </c>
    </row>
    <row r="868" spans="1:27">
      <c r="A868" s="244">
        <f t="shared" si="39"/>
        <v>87.199999999998738</v>
      </c>
      <c r="B868" s="241">
        <v>12.6</v>
      </c>
      <c r="C868" s="242">
        <v>20.399999999999999</v>
      </c>
      <c r="D868" s="243">
        <v>31.1</v>
      </c>
      <c r="E868" s="241">
        <v>14.1</v>
      </c>
      <c r="F868" s="242">
        <v>23.1</v>
      </c>
      <c r="G868" s="243">
        <v>35.299999999999997</v>
      </c>
      <c r="H868" s="241">
        <v>16.5</v>
      </c>
      <c r="I868" s="242">
        <v>27.4</v>
      </c>
      <c r="J868" s="243">
        <v>42</v>
      </c>
      <c r="K868" s="241">
        <v>22</v>
      </c>
      <c r="L868" s="242">
        <v>37</v>
      </c>
      <c r="M868" s="243">
        <v>56.6</v>
      </c>
      <c r="N868" s="241">
        <v>38.6</v>
      </c>
      <c r="O868" s="242">
        <v>64.900000000000006</v>
      </c>
      <c r="P868" s="243">
        <v>97.2</v>
      </c>
      <c r="Z868" s="244">
        <f t="shared" si="40"/>
        <v>87.199999999998738</v>
      </c>
      <c r="AA868" s="376">
        <f t="shared" si="41"/>
        <v>9.8695114612130865E-6</v>
      </c>
    </row>
    <row r="869" spans="1:27">
      <c r="A869" s="244">
        <f t="shared" si="39"/>
        <v>87.299999999998732</v>
      </c>
      <c r="B869" s="241">
        <v>12.5</v>
      </c>
      <c r="C869" s="242">
        <v>20.399999999999999</v>
      </c>
      <c r="D869" s="243">
        <v>31.1</v>
      </c>
      <c r="E869" s="241">
        <v>14</v>
      </c>
      <c r="F869" s="242">
        <v>23.1</v>
      </c>
      <c r="G869" s="243">
        <v>35.299999999999997</v>
      </c>
      <c r="H869" s="241">
        <v>16.5</v>
      </c>
      <c r="I869" s="242">
        <v>27.4</v>
      </c>
      <c r="J869" s="243">
        <v>42</v>
      </c>
      <c r="K869" s="241">
        <v>22</v>
      </c>
      <c r="L869" s="242">
        <v>37</v>
      </c>
      <c r="M869" s="243">
        <v>56.6</v>
      </c>
      <c r="N869" s="241">
        <v>38.4</v>
      </c>
      <c r="O869" s="242">
        <v>64.8</v>
      </c>
      <c r="P869" s="243">
        <v>97.2</v>
      </c>
      <c r="Z869" s="244">
        <f t="shared" si="40"/>
        <v>87.299999999998732</v>
      </c>
      <c r="AA869" s="376">
        <f t="shared" si="41"/>
        <v>9.838453086672984E-6</v>
      </c>
    </row>
    <row r="870" spans="1:27">
      <c r="A870" s="244">
        <f t="shared" si="39"/>
        <v>87.399999999998727</v>
      </c>
      <c r="B870" s="241">
        <v>12.5</v>
      </c>
      <c r="C870" s="242">
        <v>20.399999999999999</v>
      </c>
      <c r="D870" s="243">
        <v>31.1</v>
      </c>
      <c r="E870" s="241">
        <v>14</v>
      </c>
      <c r="F870" s="242">
        <v>23.1</v>
      </c>
      <c r="G870" s="243">
        <v>35.299999999999997</v>
      </c>
      <c r="H870" s="241">
        <v>16.399999999999999</v>
      </c>
      <c r="I870" s="242">
        <v>27.4</v>
      </c>
      <c r="J870" s="243">
        <v>42</v>
      </c>
      <c r="K870" s="241">
        <v>21.9</v>
      </c>
      <c r="L870" s="242">
        <v>37</v>
      </c>
      <c r="M870" s="243">
        <v>56.6</v>
      </c>
      <c r="N870" s="241">
        <v>38.299999999999997</v>
      </c>
      <c r="O870" s="242">
        <v>64.8</v>
      </c>
      <c r="P870" s="243">
        <v>97.2</v>
      </c>
      <c r="Z870" s="244">
        <f t="shared" si="40"/>
        <v>87.399999999998727</v>
      </c>
      <c r="AA870" s="376">
        <f t="shared" si="41"/>
        <v>9.807527838349646E-6</v>
      </c>
    </row>
    <row r="871" spans="1:27">
      <c r="A871" s="244">
        <f t="shared" si="39"/>
        <v>87.499999999998721</v>
      </c>
      <c r="B871" s="241">
        <v>12.5</v>
      </c>
      <c r="C871" s="242">
        <v>20.399999999999999</v>
      </c>
      <c r="D871" s="243">
        <v>31.2</v>
      </c>
      <c r="E871" s="241">
        <v>13.9</v>
      </c>
      <c r="F871" s="242">
        <v>23</v>
      </c>
      <c r="G871" s="243">
        <v>35.299999999999997</v>
      </c>
      <c r="H871" s="241">
        <v>16.399999999999999</v>
      </c>
      <c r="I871" s="242">
        <v>27.4</v>
      </c>
      <c r="J871" s="243">
        <v>42.1</v>
      </c>
      <c r="K871" s="241">
        <v>21.8</v>
      </c>
      <c r="L871" s="242">
        <v>36.9</v>
      </c>
      <c r="M871" s="243">
        <v>56.7</v>
      </c>
      <c r="N871" s="241">
        <v>38.200000000000003</v>
      </c>
      <c r="O871" s="242">
        <v>64.8</v>
      </c>
      <c r="P871" s="243">
        <v>97.3</v>
      </c>
      <c r="Z871" s="244">
        <f t="shared" si="40"/>
        <v>87.499999999998721</v>
      </c>
      <c r="AA871" s="376">
        <f t="shared" si="41"/>
        <v>9.7767349942806521E-6</v>
      </c>
    </row>
    <row r="872" spans="1:27">
      <c r="A872" s="244">
        <f t="shared" si="39"/>
        <v>87.599999999998715</v>
      </c>
      <c r="B872" s="241">
        <v>12.4</v>
      </c>
      <c r="C872" s="242">
        <v>20.399999999999999</v>
      </c>
      <c r="D872" s="243">
        <v>31.2</v>
      </c>
      <c r="E872" s="241">
        <v>13.9</v>
      </c>
      <c r="F872" s="242">
        <v>23</v>
      </c>
      <c r="G872" s="243">
        <v>35.299999999999997</v>
      </c>
      <c r="H872" s="241">
        <v>16.399999999999999</v>
      </c>
      <c r="I872" s="242">
        <v>27.4</v>
      </c>
      <c r="J872" s="243">
        <v>42.1</v>
      </c>
      <c r="K872" s="241">
        <v>21.8</v>
      </c>
      <c r="L872" s="242">
        <v>36.9</v>
      </c>
      <c r="M872" s="243">
        <v>56.7</v>
      </c>
      <c r="N872" s="241">
        <v>38.1</v>
      </c>
      <c r="O872" s="242">
        <v>64.7</v>
      </c>
      <c r="P872" s="243">
        <v>97.3</v>
      </c>
      <c r="Z872" s="244">
        <f t="shared" si="40"/>
        <v>87.599999999998715</v>
      </c>
      <c r="AA872" s="376">
        <f t="shared" si="41"/>
        <v>9.7460738372377541E-6</v>
      </c>
    </row>
    <row r="873" spans="1:27">
      <c r="A873" s="244">
        <f t="shared" si="39"/>
        <v>87.69999999999871</v>
      </c>
      <c r="B873" s="241">
        <v>12.4</v>
      </c>
      <c r="C873" s="242">
        <v>20.399999999999999</v>
      </c>
      <c r="D873" s="243">
        <v>31.2</v>
      </c>
      <c r="E873" s="241">
        <v>13.9</v>
      </c>
      <c r="F873" s="242">
        <v>23</v>
      </c>
      <c r="G873" s="243">
        <v>35.299999999999997</v>
      </c>
      <c r="H873" s="241">
        <v>16.3</v>
      </c>
      <c r="I873" s="242">
        <v>27.4</v>
      </c>
      <c r="J873" s="243">
        <v>42.1</v>
      </c>
      <c r="K873" s="241">
        <v>21.7</v>
      </c>
      <c r="L873" s="242">
        <v>36.9</v>
      </c>
      <c r="M873" s="243">
        <v>56.7</v>
      </c>
      <c r="N873" s="241">
        <v>38</v>
      </c>
      <c r="O873" s="242">
        <v>64.7</v>
      </c>
      <c r="P873" s="243">
        <v>97.3</v>
      </c>
      <c r="Z873" s="244">
        <f t="shared" si="40"/>
        <v>87.69999999999871</v>
      </c>
      <c r="AA873" s="376">
        <f t="shared" si="41"/>
        <v>9.7155436546904705E-6</v>
      </c>
    </row>
    <row r="874" spans="1:27">
      <c r="A874" s="244">
        <f t="shared" si="39"/>
        <v>87.799999999998704</v>
      </c>
      <c r="B874" s="241">
        <v>12.4</v>
      </c>
      <c r="C874" s="242">
        <v>20.399999999999999</v>
      </c>
      <c r="D874" s="243">
        <v>31.2</v>
      </c>
      <c r="E874" s="241">
        <v>13.8</v>
      </c>
      <c r="F874" s="242">
        <v>23</v>
      </c>
      <c r="G874" s="243">
        <v>35.299999999999997</v>
      </c>
      <c r="H874" s="241">
        <v>16.3</v>
      </c>
      <c r="I874" s="242">
        <v>27.3</v>
      </c>
      <c r="J874" s="243">
        <v>42.1</v>
      </c>
      <c r="K874" s="241">
        <v>21.6</v>
      </c>
      <c r="L874" s="242">
        <v>36.9</v>
      </c>
      <c r="M874" s="243">
        <v>56.7</v>
      </c>
      <c r="N874" s="241">
        <v>37.9</v>
      </c>
      <c r="O874" s="242">
        <v>64.599999999999994</v>
      </c>
      <c r="P874" s="243">
        <v>97.4</v>
      </c>
      <c r="Z874" s="244">
        <f t="shared" si="40"/>
        <v>87.799999999998704</v>
      </c>
      <c r="AA874" s="376">
        <f t="shared" si="41"/>
        <v>9.6851437387700248E-6</v>
      </c>
    </row>
    <row r="875" spans="1:27">
      <c r="A875" s="244">
        <f t="shared" si="39"/>
        <v>87.899999999998698</v>
      </c>
      <c r="B875" s="241">
        <v>12.3</v>
      </c>
      <c r="C875" s="242">
        <v>20.399999999999999</v>
      </c>
      <c r="D875" s="243">
        <v>31.2</v>
      </c>
      <c r="E875" s="241">
        <v>13.8</v>
      </c>
      <c r="F875" s="242">
        <v>23</v>
      </c>
      <c r="G875" s="243">
        <v>35.299999999999997</v>
      </c>
      <c r="H875" s="241">
        <v>16.2</v>
      </c>
      <c r="I875" s="242">
        <v>27.3</v>
      </c>
      <c r="J875" s="243">
        <v>42.1</v>
      </c>
      <c r="K875" s="241">
        <v>21.6</v>
      </c>
      <c r="L875" s="242">
        <v>36.799999999999997</v>
      </c>
      <c r="M875" s="243">
        <v>56.7</v>
      </c>
      <c r="N875" s="241">
        <v>37.799999999999997</v>
      </c>
      <c r="O875" s="242">
        <v>64.599999999999994</v>
      </c>
      <c r="P875" s="243">
        <v>97.4</v>
      </c>
      <c r="Z875" s="244">
        <f t="shared" si="40"/>
        <v>87.899999999998698</v>
      </c>
      <c r="AA875" s="376">
        <f t="shared" si="41"/>
        <v>9.6548733862335586E-6</v>
      </c>
    </row>
    <row r="876" spans="1:27">
      <c r="A876" s="244">
        <f t="shared" si="39"/>
        <v>87.999999999998693</v>
      </c>
      <c r="B876" s="241">
        <v>12.3</v>
      </c>
      <c r="C876" s="242">
        <v>20.3</v>
      </c>
      <c r="D876" s="243">
        <v>31.2</v>
      </c>
      <c r="E876" s="241">
        <v>13.8</v>
      </c>
      <c r="F876" s="242">
        <v>23</v>
      </c>
      <c r="G876" s="243">
        <v>35.299999999999997</v>
      </c>
      <c r="H876" s="241">
        <v>16.2</v>
      </c>
      <c r="I876" s="242">
        <v>27.3</v>
      </c>
      <c r="J876" s="243">
        <v>42.1</v>
      </c>
      <c r="K876" s="241">
        <v>21.5</v>
      </c>
      <c r="L876" s="242">
        <v>36.799999999999997</v>
      </c>
      <c r="M876" s="243">
        <v>56.8</v>
      </c>
      <c r="N876" s="241">
        <v>37.700000000000003</v>
      </c>
      <c r="O876" s="242">
        <v>64.599999999999994</v>
      </c>
      <c r="P876" s="243">
        <v>97.4</v>
      </c>
      <c r="Z876" s="244">
        <f t="shared" si="40"/>
        <v>87.999999999998693</v>
      </c>
      <c r="AA876" s="376">
        <f t="shared" si="41"/>
        <v>9.6247318984287052E-6</v>
      </c>
    </row>
    <row r="877" spans="1:27">
      <c r="A877" s="244">
        <f t="shared" si="39"/>
        <v>88.099999999998687</v>
      </c>
      <c r="B877" s="241">
        <v>12.3</v>
      </c>
      <c r="C877" s="242">
        <v>20.3</v>
      </c>
      <c r="D877" s="243">
        <v>31.2</v>
      </c>
      <c r="E877" s="241">
        <v>13.7</v>
      </c>
      <c r="F877" s="242">
        <v>23</v>
      </c>
      <c r="G877" s="243">
        <v>35.4</v>
      </c>
      <c r="H877" s="241">
        <v>16.100000000000001</v>
      </c>
      <c r="I877" s="242">
        <v>27.3</v>
      </c>
      <c r="J877" s="243">
        <v>42.2</v>
      </c>
      <c r="K877" s="241">
        <v>21.5</v>
      </c>
      <c r="L877" s="242">
        <v>36.799999999999997</v>
      </c>
      <c r="M877" s="243">
        <v>56.8</v>
      </c>
      <c r="N877" s="241">
        <v>37.5</v>
      </c>
      <c r="O877" s="242">
        <v>64.5</v>
      </c>
      <c r="P877" s="243">
        <v>97.5</v>
      </c>
      <c r="Z877" s="244">
        <f t="shared" si="40"/>
        <v>88.099999999998687</v>
      </c>
      <c r="AA877" s="376">
        <f t="shared" si="41"/>
        <v>9.5947185812584359E-6</v>
      </c>
    </row>
    <row r="878" spans="1:27">
      <c r="A878" s="244">
        <f t="shared" si="39"/>
        <v>88.199999999998681</v>
      </c>
      <c r="B878" s="241">
        <v>12.2</v>
      </c>
      <c r="C878" s="242">
        <v>20.3</v>
      </c>
      <c r="D878" s="243">
        <v>31.2</v>
      </c>
      <c r="E878" s="241">
        <v>13.7</v>
      </c>
      <c r="F878" s="242">
        <v>22.9</v>
      </c>
      <c r="G878" s="243">
        <v>35.4</v>
      </c>
      <c r="H878" s="241">
        <v>16.100000000000001</v>
      </c>
      <c r="I878" s="242">
        <v>27.3</v>
      </c>
      <c r="J878" s="243">
        <v>42.2</v>
      </c>
      <c r="K878" s="241">
        <v>21.4</v>
      </c>
      <c r="L878" s="242">
        <v>36.799999999999997</v>
      </c>
      <c r="M878" s="243">
        <v>56.8</v>
      </c>
      <c r="N878" s="241">
        <v>37.4</v>
      </c>
      <c r="O878" s="242">
        <v>64.5</v>
      </c>
      <c r="P878" s="243">
        <v>97.5</v>
      </c>
      <c r="Z878" s="244">
        <f t="shared" si="40"/>
        <v>88.199999999998681</v>
      </c>
      <c r="AA878" s="376">
        <f t="shared" si="41"/>
        <v>9.5648327451462521E-6</v>
      </c>
    </row>
    <row r="879" spans="1:27">
      <c r="A879" s="244">
        <f t="shared" si="39"/>
        <v>88.299999999998676</v>
      </c>
      <c r="B879" s="241">
        <v>12.2</v>
      </c>
      <c r="C879" s="242">
        <v>20.3</v>
      </c>
      <c r="D879" s="243">
        <v>31.2</v>
      </c>
      <c r="E879" s="241">
        <v>13.7</v>
      </c>
      <c r="F879" s="242">
        <v>22.9</v>
      </c>
      <c r="G879" s="243">
        <v>35.4</v>
      </c>
      <c r="H879" s="241">
        <v>16</v>
      </c>
      <c r="I879" s="242">
        <v>27.3</v>
      </c>
      <c r="J879" s="243">
        <v>42.2</v>
      </c>
      <c r="K879" s="241">
        <v>21.4</v>
      </c>
      <c r="L879" s="242">
        <v>36.700000000000003</v>
      </c>
      <c r="M879" s="243">
        <v>56.8</v>
      </c>
      <c r="N879" s="241">
        <v>37.299999999999997</v>
      </c>
      <c r="O879" s="242">
        <v>64.5</v>
      </c>
      <c r="P879" s="243">
        <v>97.5</v>
      </c>
      <c r="Z879" s="244">
        <f t="shared" si="40"/>
        <v>88.299999999998676</v>
      </c>
      <c r="AA879" s="376">
        <f t="shared" si="41"/>
        <v>9.5350737050016384E-6</v>
      </c>
    </row>
    <row r="880" spans="1:27">
      <c r="A880" s="244">
        <f t="shared" si="39"/>
        <v>88.39999999999867</v>
      </c>
      <c r="B880" s="241">
        <v>12.2</v>
      </c>
      <c r="C880" s="242">
        <v>20.3</v>
      </c>
      <c r="D880" s="243">
        <v>31.3</v>
      </c>
      <c r="E880" s="241">
        <v>13.6</v>
      </c>
      <c r="F880" s="242">
        <v>22.9</v>
      </c>
      <c r="G880" s="243">
        <v>35.4</v>
      </c>
      <c r="H880" s="241">
        <v>16</v>
      </c>
      <c r="I880" s="242">
        <v>27.2</v>
      </c>
      <c r="J880" s="243">
        <v>42.2</v>
      </c>
      <c r="K880" s="241">
        <v>21.3</v>
      </c>
      <c r="L880" s="242">
        <v>36.700000000000003</v>
      </c>
      <c r="M880" s="243">
        <v>56.9</v>
      </c>
      <c r="N880" s="241">
        <v>37.200000000000003</v>
      </c>
      <c r="O880" s="242">
        <v>64.400000000000006</v>
      </c>
      <c r="P880" s="243">
        <v>97.6</v>
      </c>
      <c r="Z880" s="244">
        <f t="shared" si="40"/>
        <v>88.39999999999867</v>
      </c>
      <c r="AA880" s="376">
        <f t="shared" si="41"/>
        <v>9.5054407801858608E-6</v>
      </c>
    </row>
    <row r="881" spans="1:27">
      <c r="A881" s="244">
        <f t="shared" si="39"/>
        <v>88.499999999998664</v>
      </c>
      <c r="B881" s="241">
        <v>12.2</v>
      </c>
      <c r="C881" s="242">
        <v>20.3</v>
      </c>
      <c r="D881" s="243">
        <v>31.3</v>
      </c>
      <c r="E881" s="241">
        <v>13.6</v>
      </c>
      <c r="F881" s="242">
        <v>22.9</v>
      </c>
      <c r="G881" s="243">
        <v>35.4</v>
      </c>
      <c r="H881" s="241">
        <v>16</v>
      </c>
      <c r="I881" s="242">
        <v>27.2</v>
      </c>
      <c r="J881" s="243">
        <v>42.2</v>
      </c>
      <c r="K881" s="241">
        <v>21.2</v>
      </c>
      <c r="L881" s="242">
        <v>36.700000000000003</v>
      </c>
      <c r="M881" s="243">
        <v>56.9</v>
      </c>
      <c r="N881" s="241">
        <v>37.1</v>
      </c>
      <c r="O881" s="242">
        <v>64.400000000000006</v>
      </c>
      <c r="P881" s="243">
        <v>97.6</v>
      </c>
      <c r="Z881" s="244">
        <f t="shared" si="40"/>
        <v>88.499999999998664</v>
      </c>
      <c r="AA881" s="376">
        <f t="shared" si="41"/>
        <v>9.4759332944780451E-6</v>
      </c>
    </row>
    <row r="882" spans="1:27">
      <c r="A882" s="244">
        <f t="shared" si="39"/>
        <v>88.599999999998658</v>
      </c>
      <c r="B882" s="241">
        <v>12.1</v>
      </c>
      <c r="C882" s="242">
        <v>20.3</v>
      </c>
      <c r="D882" s="243">
        <v>31.3</v>
      </c>
      <c r="E882" s="241">
        <v>13.6</v>
      </c>
      <c r="F882" s="242">
        <v>22.9</v>
      </c>
      <c r="G882" s="243">
        <v>35.4</v>
      </c>
      <c r="H882" s="241">
        <v>15.9</v>
      </c>
      <c r="I882" s="242">
        <v>27.2</v>
      </c>
      <c r="J882" s="243">
        <v>42.2</v>
      </c>
      <c r="K882" s="241">
        <v>21.2</v>
      </c>
      <c r="L882" s="242">
        <v>36.700000000000003</v>
      </c>
      <c r="M882" s="243">
        <v>56.9</v>
      </c>
      <c r="N882" s="241">
        <v>37</v>
      </c>
      <c r="O882" s="242">
        <v>64.400000000000006</v>
      </c>
      <c r="P882" s="243">
        <v>97.7</v>
      </c>
      <c r="Z882" s="244">
        <f t="shared" si="40"/>
        <v>88.599999999998658</v>
      </c>
      <c r="AA882" s="376">
        <f t="shared" si="41"/>
        <v>9.4465505760415442E-6</v>
      </c>
    </row>
    <row r="883" spans="1:27">
      <c r="A883" s="244">
        <f t="shared" si="39"/>
        <v>88.699999999998653</v>
      </c>
      <c r="B883" s="241">
        <v>12.1</v>
      </c>
      <c r="C883" s="242">
        <v>20.3</v>
      </c>
      <c r="D883" s="243">
        <v>31.3</v>
      </c>
      <c r="E883" s="241">
        <v>13.5</v>
      </c>
      <c r="F883" s="242">
        <v>22.9</v>
      </c>
      <c r="G883" s="243">
        <v>35.5</v>
      </c>
      <c r="H883" s="241">
        <v>15.9</v>
      </c>
      <c r="I883" s="242">
        <v>27.2</v>
      </c>
      <c r="J883" s="243">
        <v>42.3</v>
      </c>
      <c r="K883" s="241">
        <v>21.1</v>
      </c>
      <c r="L883" s="242">
        <v>36.700000000000003</v>
      </c>
      <c r="M883" s="243">
        <v>56.9</v>
      </c>
      <c r="N883" s="241">
        <v>36.9</v>
      </c>
      <c r="O883" s="242">
        <v>64.3</v>
      </c>
      <c r="P883" s="243">
        <v>97.7</v>
      </c>
      <c r="Z883" s="244">
        <f t="shared" si="40"/>
        <v>88.699999999998653</v>
      </c>
      <c r="AA883" s="376">
        <f t="shared" si="41"/>
        <v>9.4172919573906092E-6</v>
      </c>
    </row>
    <row r="884" spans="1:27">
      <c r="A884" s="244">
        <f t="shared" si="39"/>
        <v>88.799999999998647</v>
      </c>
      <c r="B884" s="241">
        <v>12.1</v>
      </c>
      <c r="C884" s="242">
        <v>20.3</v>
      </c>
      <c r="D884" s="243">
        <v>31.3</v>
      </c>
      <c r="E884" s="241">
        <v>13.5</v>
      </c>
      <c r="F884" s="242">
        <v>22.9</v>
      </c>
      <c r="G884" s="243">
        <v>35.5</v>
      </c>
      <c r="H884" s="241">
        <v>15.9</v>
      </c>
      <c r="I884" s="242">
        <v>27.2</v>
      </c>
      <c r="J884" s="243">
        <v>42.3</v>
      </c>
      <c r="K884" s="241">
        <v>21.1</v>
      </c>
      <c r="L884" s="242">
        <v>36.700000000000003</v>
      </c>
      <c r="M884" s="243">
        <v>57</v>
      </c>
      <c r="N884" s="241">
        <v>36.799999999999997</v>
      </c>
      <c r="O884" s="242">
        <v>64.3</v>
      </c>
      <c r="P884" s="243">
        <v>97.8</v>
      </c>
      <c r="Z884" s="244">
        <f t="shared" si="40"/>
        <v>88.799999999998647</v>
      </c>
      <c r="AA884" s="376">
        <f t="shared" si="41"/>
        <v>9.3881567753573536E-6</v>
      </c>
    </row>
    <row r="885" spans="1:27">
      <c r="A885" s="244">
        <f t="shared" si="39"/>
        <v>88.899999999998641</v>
      </c>
      <c r="B885" s="241">
        <v>12</v>
      </c>
      <c r="C885" s="242">
        <v>20.3</v>
      </c>
      <c r="D885" s="243">
        <v>31.3</v>
      </c>
      <c r="E885" s="241">
        <v>13.5</v>
      </c>
      <c r="F885" s="242">
        <v>22.9</v>
      </c>
      <c r="G885" s="243">
        <v>35.5</v>
      </c>
      <c r="H885" s="241">
        <v>15.8</v>
      </c>
      <c r="I885" s="242">
        <v>27.2</v>
      </c>
      <c r="J885" s="243">
        <v>42.3</v>
      </c>
      <c r="K885" s="241">
        <v>21</v>
      </c>
      <c r="L885" s="242">
        <v>36.700000000000003</v>
      </c>
      <c r="M885" s="243">
        <v>57</v>
      </c>
      <c r="N885" s="241">
        <v>36.799999999999997</v>
      </c>
      <c r="O885" s="242">
        <v>64.3</v>
      </c>
      <c r="P885" s="243">
        <v>97.8</v>
      </c>
      <c r="Z885" s="244">
        <f t="shared" si="40"/>
        <v>88.899999999998641</v>
      </c>
      <c r="AA885" s="376">
        <f t="shared" si="41"/>
        <v>9.3591443710590103E-6</v>
      </c>
    </row>
    <row r="886" spans="1:27">
      <c r="A886" s="244">
        <f t="shared" si="39"/>
        <v>88.999999999998636</v>
      </c>
      <c r="B886" s="241">
        <v>12</v>
      </c>
      <c r="C886" s="242">
        <v>20.2</v>
      </c>
      <c r="D886" s="243">
        <v>31.4</v>
      </c>
      <c r="E886" s="241">
        <v>13.4</v>
      </c>
      <c r="F886" s="242">
        <v>22.9</v>
      </c>
      <c r="G886" s="243">
        <v>35.5</v>
      </c>
      <c r="H886" s="241">
        <v>15.8</v>
      </c>
      <c r="I886" s="242">
        <v>27.2</v>
      </c>
      <c r="J886" s="243">
        <v>42.3</v>
      </c>
      <c r="K886" s="241">
        <v>21</v>
      </c>
      <c r="L886" s="242">
        <v>36.6</v>
      </c>
      <c r="M886" s="243">
        <v>57</v>
      </c>
      <c r="N886" s="241">
        <v>36.700000000000003</v>
      </c>
      <c r="O886" s="242">
        <v>64.3</v>
      </c>
      <c r="P886" s="243">
        <v>97.9</v>
      </c>
      <c r="Z886" s="244">
        <f t="shared" si="40"/>
        <v>88.999999999998636</v>
      </c>
      <c r="AA886" s="376">
        <f t="shared" si="41"/>
        <v>9.3302540898654306E-6</v>
      </c>
    </row>
    <row r="887" spans="1:27">
      <c r="A887" s="244">
        <f t="shared" si="39"/>
        <v>89.09999999999863</v>
      </c>
      <c r="B887" s="241">
        <v>12</v>
      </c>
      <c r="C887" s="242">
        <v>20.2</v>
      </c>
      <c r="D887" s="243">
        <v>31.4</v>
      </c>
      <c r="E887" s="241">
        <v>13.4</v>
      </c>
      <c r="F887" s="242">
        <v>22.9</v>
      </c>
      <c r="G887" s="243">
        <v>35.5</v>
      </c>
      <c r="H887" s="241">
        <v>15.7</v>
      </c>
      <c r="I887" s="242">
        <v>27.2</v>
      </c>
      <c r="J887" s="243">
        <v>42.4</v>
      </c>
      <c r="K887" s="241">
        <v>20.9</v>
      </c>
      <c r="L887" s="242">
        <v>36.6</v>
      </c>
      <c r="M887" s="243">
        <v>57.1</v>
      </c>
      <c r="N887" s="241">
        <v>36.6</v>
      </c>
      <c r="O887" s="242">
        <v>64.3</v>
      </c>
      <c r="P887" s="243">
        <v>97.9</v>
      </c>
      <c r="Z887" s="244">
        <f t="shared" si="40"/>
        <v>89.09999999999863</v>
      </c>
      <c r="AA887" s="376">
        <f t="shared" si="41"/>
        <v>9.3014852813669398E-6</v>
      </c>
    </row>
    <row r="888" spans="1:27">
      <c r="A888" s="244">
        <f t="shared" si="39"/>
        <v>89.199999999998624</v>
      </c>
      <c r="B888" s="241">
        <v>12</v>
      </c>
      <c r="C888" s="242">
        <v>20.2</v>
      </c>
      <c r="D888" s="243">
        <v>31.4</v>
      </c>
      <c r="E888" s="241">
        <v>13.4</v>
      </c>
      <c r="F888" s="242">
        <v>22.8</v>
      </c>
      <c r="G888" s="243">
        <v>35.6</v>
      </c>
      <c r="H888" s="241">
        <v>15.7</v>
      </c>
      <c r="I888" s="242">
        <v>27.2</v>
      </c>
      <c r="J888" s="243">
        <v>42.4</v>
      </c>
      <c r="K888" s="241">
        <v>20.9</v>
      </c>
      <c r="L888" s="242">
        <v>36.6</v>
      </c>
      <c r="M888" s="243">
        <v>57.1</v>
      </c>
      <c r="N888" s="241">
        <v>36.5</v>
      </c>
      <c r="O888" s="242">
        <v>64.2</v>
      </c>
      <c r="P888" s="243">
        <v>98</v>
      </c>
      <c r="Z888" s="244">
        <f t="shared" si="40"/>
        <v>89.199999999998624</v>
      </c>
      <c r="AA888" s="376">
        <f t="shared" si="41"/>
        <v>9.2728372993424006E-6</v>
      </c>
    </row>
    <row r="889" spans="1:27">
      <c r="A889" s="244">
        <f t="shared" si="39"/>
        <v>89.299999999998619</v>
      </c>
      <c r="B889" s="241">
        <v>11.9</v>
      </c>
      <c r="C889" s="242">
        <v>20.2</v>
      </c>
      <c r="D889" s="243">
        <v>31.4</v>
      </c>
      <c r="E889" s="241">
        <v>13.3</v>
      </c>
      <c r="F889" s="242">
        <v>22.8</v>
      </c>
      <c r="G889" s="243">
        <v>35.6</v>
      </c>
      <c r="H889" s="241">
        <v>15.7</v>
      </c>
      <c r="I889" s="242">
        <v>27.2</v>
      </c>
      <c r="J889" s="243">
        <v>42.4</v>
      </c>
      <c r="K889" s="241">
        <v>20.8</v>
      </c>
      <c r="L889" s="242">
        <v>36.6</v>
      </c>
      <c r="M889" s="243">
        <v>57.1</v>
      </c>
      <c r="N889" s="241">
        <v>36.4</v>
      </c>
      <c r="O889" s="242">
        <v>64.2</v>
      </c>
      <c r="P889" s="243">
        <v>98</v>
      </c>
      <c r="Z889" s="244">
        <f t="shared" si="40"/>
        <v>89.299999999998619</v>
      </c>
      <c r="AA889" s="376">
        <f t="shared" si="41"/>
        <v>9.2443095017276083E-6</v>
      </c>
    </row>
    <row r="890" spans="1:27">
      <c r="A890" s="244">
        <f t="shared" si="39"/>
        <v>89.399999999998613</v>
      </c>
      <c r="B890" s="241">
        <v>11.9</v>
      </c>
      <c r="C890" s="242">
        <v>20.2</v>
      </c>
      <c r="D890" s="243">
        <v>31.4</v>
      </c>
      <c r="E890" s="241">
        <v>13.3</v>
      </c>
      <c r="F890" s="242">
        <v>22.8</v>
      </c>
      <c r="G890" s="243">
        <v>35.6</v>
      </c>
      <c r="H890" s="241">
        <v>15.6</v>
      </c>
      <c r="I890" s="242">
        <v>27.1</v>
      </c>
      <c r="J890" s="243">
        <v>42.4</v>
      </c>
      <c r="K890" s="241">
        <v>20.8</v>
      </c>
      <c r="L890" s="242">
        <v>36.6</v>
      </c>
      <c r="M890" s="243">
        <v>57.2</v>
      </c>
      <c r="N890" s="241">
        <v>36.299999999999997</v>
      </c>
      <c r="O890" s="242">
        <v>64.2</v>
      </c>
      <c r="P890" s="243">
        <v>98.1</v>
      </c>
      <c r="Z890" s="244">
        <f t="shared" si="40"/>
        <v>89.399999999998613</v>
      </c>
      <c r="AA890" s="376">
        <f t="shared" si="41"/>
        <v>9.21590125058391E-6</v>
      </c>
    </row>
    <row r="891" spans="1:27">
      <c r="A891" s="244">
        <f t="shared" si="39"/>
        <v>89.499999999998607</v>
      </c>
      <c r="B891" s="241">
        <v>11.9</v>
      </c>
      <c r="C891" s="242">
        <v>20.2</v>
      </c>
      <c r="D891" s="243">
        <v>31.4</v>
      </c>
      <c r="E891" s="241">
        <v>13.3</v>
      </c>
      <c r="F891" s="242">
        <v>22.8</v>
      </c>
      <c r="G891" s="243">
        <v>35.6</v>
      </c>
      <c r="H891" s="241">
        <v>15.6</v>
      </c>
      <c r="I891" s="242">
        <v>27.1</v>
      </c>
      <c r="J891" s="243">
        <v>42.5</v>
      </c>
      <c r="K891" s="241">
        <v>20.7</v>
      </c>
      <c r="L891" s="242">
        <v>36.6</v>
      </c>
      <c r="M891" s="243">
        <v>57.2</v>
      </c>
      <c r="N891" s="241">
        <v>36.200000000000003</v>
      </c>
      <c r="O891" s="242">
        <v>64.2</v>
      </c>
      <c r="P891" s="243">
        <v>98.1</v>
      </c>
      <c r="Z891" s="244">
        <f t="shared" si="40"/>
        <v>89.499999999998607</v>
      </c>
      <c r="AA891" s="376">
        <f t="shared" si="41"/>
        <v>9.1876119120671408E-6</v>
      </c>
    </row>
    <row r="892" spans="1:27">
      <c r="A892" s="244">
        <f t="shared" si="39"/>
        <v>89.599999999998602</v>
      </c>
      <c r="B892" s="241">
        <v>11.9</v>
      </c>
      <c r="C892" s="242">
        <v>20.2</v>
      </c>
      <c r="D892" s="243">
        <v>31.5</v>
      </c>
      <c r="E892" s="241">
        <v>13.3</v>
      </c>
      <c r="F892" s="242">
        <v>22.8</v>
      </c>
      <c r="G892" s="243">
        <v>35.6</v>
      </c>
      <c r="H892" s="241">
        <v>15.6</v>
      </c>
      <c r="I892" s="242">
        <v>27.1</v>
      </c>
      <c r="J892" s="243">
        <v>42.5</v>
      </c>
      <c r="K892" s="241">
        <v>20.7</v>
      </c>
      <c r="L892" s="242">
        <v>36.6</v>
      </c>
      <c r="M892" s="243">
        <v>57.2</v>
      </c>
      <c r="N892" s="241">
        <v>36.1</v>
      </c>
      <c r="O892" s="242">
        <v>64.2</v>
      </c>
      <c r="P892" s="243">
        <v>98.2</v>
      </c>
      <c r="Z892" s="244">
        <f t="shared" si="40"/>
        <v>89.599999999998602</v>
      </c>
      <c r="AA892" s="376">
        <f t="shared" si="41"/>
        <v>9.1594408563968018E-6</v>
      </c>
    </row>
    <row r="893" spans="1:27">
      <c r="A893" s="244">
        <f t="shared" si="39"/>
        <v>89.699999999998596</v>
      </c>
      <c r="B893" s="241">
        <v>11.8</v>
      </c>
      <c r="C893" s="242">
        <v>20.2</v>
      </c>
      <c r="D893" s="243">
        <v>31.5</v>
      </c>
      <c r="E893" s="241">
        <v>13.2</v>
      </c>
      <c r="F893" s="242">
        <v>22.8</v>
      </c>
      <c r="G893" s="243">
        <v>35.700000000000003</v>
      </c>
      <c r="H893" s="241">
        <v>15.5</v>
      </c>
      <c r="I893" s="242">
        <v>27.1</v>
      </c>
      <c r="J893" s="243">
        <v>42.5</v>
      </c>
      <c r="K893" s="241">
        <v>20.6</v>
      </c>
      <c r="L893" s="242">
        <v>36.6</v>
      </c>
      <c r="M893" s="243">
        <v>57.3</v>
      </c>
      <c r="N893" s="241">
        <v>36.1</v>
      </c>
      <c r="O893" s="242">
        <v>64.2</v>
      </c>
      <c r="P893" s="243">
        <v>98.2</v>
      </c>
      <c r="Z893" s="244">
        <f t="shared" si="40"/>
        <v>89.699999999998596</v>
      </c>
      <c r="AA893" s="376">
        <f t="shared" si="41"/>
        <v>9.1313874578254989E-6</v>
      </c>
    </row>
    <row r="894" spans="1:27">
      <c r="A894" s="244">
        <f t="shared" si="39"/>
        <v>89.79999999999859</v>
      </c>
      <c r="B894" s="241">
        <v>11.8</v>
      </c>
      <c r="C894" s="242">
        <v>20.2</v>
      </c>
      <c r="D894" s="243">
        <v>31.5</v>
      </c>
      <c r="E894" s="241">
        <v>13.2</v>
      </c>
      <c r="F894" s="242">
        <v>22.8</v>
      </c>
      <c r="G894" s="243">
        <v>35.700000000000003</v>
      </c>
      <c r="H894" s="241">
        <v>15.5</v>
      </c>
      <c r="I894" s="242">
        <v>27.1</v>
      </c>
      <c r="J894" s="243">
        <v>42.5</v>
      </c>
      <c r="K894" s="241">
        <v>20.6</v>
      </c>
      <c r="L894" s="242">
        <v>36.6</v>
      </c>
      <c r="M894" s="243">
        <v>57.3</v>
      </c>
      <c r="N894" s="241">
        <v>36</v>
      </c>
      <c r="O894" s="242">
        <v>64.2</v>
      </c>
      <c r="P894" s="243">
        <v>98.3</v>
      </c>
      <c r="Z894" s="244">
        <f t="shared" si="40"/>
        <v>89.79999999999859</v>
      </c>
      <c r="AA894" s="376">
        <f t="shared" si="41"/>
        <v>9.1034510946086855E-6</v>
      </c>
    </row>
    <row r="895" spans="1:27">
      <c r="A895" s="244">
        <f t="shared" si="39"/>
        <v>89.899999999998585</v>
      </c>
      <c r="B895" s="241">
        <v>11.8</v>
      </c>
      <c r="C895" s="242">
        <v>20.2</v>
      </c>
      <c r="D895" s="243">
        <v>31.5</v>
      </c>
      <c r="E895" s="241">
        <v>13.2</v>
      </c>
      <c r="F895" s="242">
        <v>22.8</v>
      </c>
      <c r="G895" s="243">
        <v>35.700000000000003</v>
      </c>
      <c r="H895" s="241">
        <v>15.5</v>
      </c>
      <c r="I895" s="242">
        <v>27.1</v>
      </c>
      <c r="J895" s="243">
        <v>42.6</v>
      </c>
      <c r="K895" s="241">
        <v>20.6</v>
      </c>
      <c r="L895" s="242">
        <v>36.6</v>
      </c>
      <c r="M895" s="243">
        <v>57.3</v>
      </c>
      <c r="N895" s="241">
        <v>35.9</v>
      </c>
      <c r="O895" s="242">
        <v>64.099999999999994</v>
      </c>
      <c r="P895" s="243">
        <v>98.4</v>
      </c>
      <c r="Z895" s="244">
        <f t="shared" si="40"/>
        <v>89.899999999998585</v>
      </c>
      <c r="AA895" s="376">
        <f t="shared" si="41"/>
        <v>9.0756311489746028E-6</v>
      </c>
    </row>
    <row r="896" spans="1:27">
      <c r="A896" s="244">
        <f t="shared" si="39"/>
        <v>89.999999999998579</v>
      </c>
      <c r="B896" s="241">
        <v>11.8</v>
      </c>
      <c r="C896" s="242">
        <v>20.2</v>
      </c>
      <c r="D896" s="243">
        <v>31.6</v>
      </c>
      <c r="E896" s="241">
        <v>13.2</v>
      </c>
      <c r="F896" s="242">
        <v>22.8</v>
      </c>
      <c r="G896" s="243">
        <v>35.700000000000003</v>
      </c>
      <c r="H896" s="241">
        <v>15.4</v>
      </c>
      <c r="I896" s="242">
        <v>27.1</v>
      </c>
      <c r="J896" s="243">
        <v>42.6</v>
      </c>
      <c r="K896" s="241">
        <v>20.5</v>
      </c>
      <c r="L896" s="242">
        <v>36.6</v>
      </c>
      <c r="M896" s="243">
        <v>57.4</v>
      </c>
      <c r="N896" s="241">
        <v>35.799999999999997</v>
      </c>
      <c r="O896" s="242">
        <v>64.099999999999994</v>
      </c>
      <c r="P896" s="243">
        <v>98.4</v>
      </c>
      <c r="Z896" s="244">
        <f t="shared" si="40"/>
        <v>89.999999999998579</v>
      </c>
      <c r="AA896" s="376">
        <f t="shared" si="41"/>
        <v>9.0479270070945302E-6</v>
      </c>
    </row>
    <row r="897" spans="1:27">
      <c r="A897" s="244">
        <f t="shared" si="39"/>
        <v>90.099999999998573</v>
      </c>
      <c r="B897" s="241">
        <v>11.8</v>
      </c>
      <c r="C897" s="242">
        <v>20.2</v>
      </c>
      <c r="D897" s="243">
        <v>31.6</v>
      </c>
      <c r="E897" s="241">
        <v>13.1</v>
      </c>
      <c r="F897" s="242">
        <v>22.8</v>
      </c>
      <c r="G897" s="243">
        <v>35.799999999999997</v>
      </c>
      <c r="H897" s="241">
        <v>15.4</v>
      </c>
      <c r="I897" s="242">
        <v>27.1</v>
      </c>
      <c r="J897" s="243">
        <v>42.6</v>
      </c>
      <c r="K897" s="241">
        <v>20.5</v>
      </c>
      <c r="L897" s="242">
        <v>36.5</v>
      </c>
      <c r="M897" s="243">
        <v>57.4</v>
      </c>
      <c r="N897" s="241">
        <v>35.700000000000003</v>
      </c>
      <c r="O897" s="242">
        <v>64.099999999999994</v>
      </c>
      <c r="P897" s="243">
        <v>98.5</v>
      </c>
      <c r="Z897" s="244">
        <f t="shared" si="40"/>
        <v>90.099999999998573</v>
      </c>
      <c r="AA897" s="376">
        <f t="shared" si="41"/>
        <v>9.0203380590532817E-6</v>
      </c>
    </row>
    <row r="898" spans="1:27">
      <c r="A898" s="244">
        <f t="shared" si="39"/>
        <v>90.199999999998568</v>
      </c>
      <c r="B898" s="241">
        <v>11.7</v>
      </c>
      <c r="C898" s="242">
        <v>20.2</v>
      </c>
      <c r="D898" s="243">
        <v>31.6</v>
      </c>
      <c r="E898" s="241">
        <v>13.1</v>
      </c>
      <c r="F898" s="242">
        <v>22.8</v>
      </c>
      <c r="G898" s="243">
        <v>35.799999999999997</v>
      </c>
      <c r="H898" s="241">
        <v>15.4</v>
      </c>
      <c r="I898" s="242">
        <v>27.1</v>
      </c>
      <c r="J898" s="243">
        <v>42.7</v>
      </c>
      <c r="K898" s="241">
        <v>20.399999999999999</v>
      </c>
      <c r="L898" s="242">
        <v>36.5</v>
      </c>
      <c r="M898" s="243">
        <v>57.5</v>
      </c>
      <c r="N898" s="241">
        <v>35.700000000000003</v>
      </c>
      <c r="O898" s="242">
        <v>64.099999999999994</v>
      </c>
      <c r="P898" s="243">
        <v>98.6</v>
      </c>
      <c r="Z898" s="244">
        <f t="shared" si="40"/>
        <v>90.199999999998568</v>
      </c>
      <c r="AA898" s="376">
        <f t="shared" si="41"/>
        <v>8.9928636988199306E-6</v>
      </c>
    </row>
    <row r="899" spans="1:27">
      <c r="A899" s="244">
        <f t="shared" si="39"/>
        <v>90.299999999998562</v>
      </c>
      <c r="B899" s="241">
        <v>11.7</v>
      </c>
      <c r="C899" s="242">
        <v>20.2</v>
      </c>
      <c r="D899" s="243">
        <v>31.6</v>
      </c>
      <c r="E899" s="241">
        <v>13.1</v>
      </c>
      <c r="F899" s="242">
        <v>22.8</v>
      </c>
      <c r="G899" s="243">
        <v>35.799999999999997</v>
      </c>
      <c r="H899" s="241">
        <v>15.3</v>
      </c>
      <c r="I899" s="242">
        <v>27.1</v>
      </c>
      <c r="J899" s="243">
        <v>42.7</v>
      </c>
      <c r="K899" s="241">
        <v>20.399999999999999</v>
      </c>
      <c r="L899" s="242">
        <v>36.5</v>
      </c>
      <c r="M899" s="243">
        <v>57.5</v>
      </c>
      <c r="N899" s="241">
        <v>35.6</v>
      </c>
      <c r="O899" s="242">
        <v>64.099999999999994</v>
      </c>
      <c r="P899" s="243">
        <v>98.6</v>
      </c>
      <c r="Z899" s="244">
        <f t="shared" si="40"/>
        <v>90.299999999998562</v>
      </c>
      <c r="AA899" s="376">
        <f t="shared" si="41"/>
        <v>8.9655033242188222E-6</v>
      </c>
    </row>
    <row r="900" spans="1:27">
      <c r="A900" s="244">
        <f t="shared" si="39"/>
        <v>90.399999999998556</v>
      </c>
      <c r="B900" s="241">
        <v>11.7</v>
      </c>
      <c r="C900" s="242">
        <v>20.2</v>
      </c>
      <c r="D900" s="243">
        <v>31.6</v>
      </c>
      <c r="E900" s="241">
        <v>13.1</v>
      </c>
      <c r="F900" s="242">
        <v>22.8</v>
      </c>
      <c r="G900" s="243">
        <v>35.799999999999997</v>
      </c>
      <c r="H900" s="241">
        <v>15.3</v>
      </c>
      <c r="I900" s="242">
        <v>27.1</v>
      </c>
      <c r="J900" s="243">
        <v>42.7</v>
      </c>
      <c r="K900" s="241">
        <v>20.3</v>
      </c>
      <c r="L900" s="242">
        <v>36.5</v>
      </c>
      <c r="M900" s="243">
        <v>57.5</v>
      </c>
      <c r="N900" s="241">
        <v>35.5</v>
      </c>
      <c r="O900" s="242">
        <v>64.099999999999994</v>
      </c>
      <c r="P900" s="243">
        <v>98.7</v>
      </c>
      <c r="Z900" s="244">
        <f t="shared" si="40"/>
        <v>90.399999999998556</v>
      </c>
      <c r="AA900" s="376">
        <f t="shared" si="41"/>
        <v>8.9382563369007819E-6</v>
      </c>
    </row>
    <row r="901" spans="1:27">
      <c r="A901" s="244">
        <f t="shared" si="39"/>
        <v>90.49999999999855</v>
      </c>
      <c r="B901" s="241">
        <v>11.7</v>
      </c>
      <c r="C901" s="242">
        <v>20.2</v>
      </c>
      <c r="D901" s="243">
        <v>31.7</v>
      </c>
      <c r="E901" s="241">
        <v>13</v>
      </c>
      <c r="F901" s="242">
        <v>22.8</v>
      </c>
      <c r="G901" s="243">
        <v>35.9</v>
      </c>
      <c r="H901" s="241">
        <v>15.3</v>
      </c>
      <c r="I901" s="242">
        <v>27.1</v>
      </c>
      <c r="J901" s="243">
        <v>42.8</v>
      </c>
      <c r="K901" s="241">
        <v>20.3</v>
      </c>
      <c r="L901" s="242">
        <v>36.5</v>
      </c>
      <c r="M901" s="243">
        <v>57.6</v>
      </c>
      <c r="N901" s="241">
        <v>35.5</v>
      </c>
      <c r="O901" s="242">
        <v>64.099999999999994</v>
      </c>
      <c r="P901" s="243">
        <v>98.8</v>
      </c>
      <c r="Z901" s="244">
        <f t="shared" si="40"/>
        <v>90.49999999999855</v>
      </c>
      <c r="AA901" s="376">
        <f t="shared" si="41"/>
        <v>8.9111221423146492E-6</v>
      </c>
    </row>
    <row r="902" spans="1:27">
      <c r="A902" s="244">
        <f t="shared" si="39"/>
        <v>90.599999999998545</v>
      </c>
      <c r="B902" s="241">
        <v>11.7</v>
      </c>
      <c r="C902" s="242">
        <v>20.2</v>
      </c>
      <c r="D902" s="243">
        <v>31.7</v>
      </c>
      <c r="E902" s="241">
        <v>13</v>
      </c>
      <c r="F902" s="242">
        <v>22.8</v>
      </c>
      <c r="G902" s="243">
        <v>35.9</v>
      </c>
      <c r="H902" s="241">
        <v>15.3</v>
      </c>
      <c r="I902" s="242">
        <v>27.1</v>
      </c>
      <c r="J902" s="243">
        <v>42.8</v>
      </c>
      <c r="K902" s="241">
        <v>20.3</v>
      </c>
      <c r="L902" s="242">
        <v>36.5</v>
      </c>
      <c r="M902" s="243">
        <v>57.6</v>
      </c>
      <c r="N902" s="241">
        <v>35.4</v>
      </c>
      <c r="O902" s="242">
        <v>64.099999999999994</v>
      </c>
      <c r="P902" s="243">
        <v>98.8</v>
      </c>
      <c r="Z902" s="244">
        <f t="shared" si="40"/>
        <v>90.599999999998545</v>
      </c>
      <c r="AA902" s="376">
        <f t="shared" si="41"/>
        <v>8.8841001496789653E-6</v>
      </c>
    </row>
    <row r="903" spans="1:27">
      <c r="A903" s="244">
        <f t="shared" ref="A903:A966" si="42">A902+0.1</f>
        <v>90.699999999998539</v>
      </c>
      <c r="B903" s="241">
        <v>11.6</v>
      </c>
      <c r="C903" s="242">
        <v>20.2</v>
      </c>
      <c r="D903" s="243">
        <v>31.7</v>
      </c>
      <c r="E903" s="241">
        <v>13</v>
      </c>
      <c r="F903" s="242">
        <v>22.8</v>
      </c>
      <c r="G903" s="243">
        <v>35.9</v>
      </c>
      <c r="H903" s="241">
        <v>15.2</v>
      </c>
      <c r="I903" s="242">
        <v>27.1</v>
      </c>
      <c r="J903" s="243">
        <v>42.8</v>
      </c>
      <c r="K903" s="241">
        <v>20.2</v>
      </c>
      <c r="L903" s="242">
        <v>36.5</v>
      </c>
      <c r="M903" s="243">
        <v>57.7</v>
      </c>
      <c r="N903" s="241">
        <v>35.299999999999997</v>
      </c>
      <c r="O903" s="242">
        <v>64.099999999999994</v>
      </c>
      <c r="P903" s="243">
        <v>98.9</v>
      </c>
      <c r="Z903" s="244">
        <f t="shared" ref="Z903:Z966" si="43">Z902+0.1</f>
        <v>90.699999999998539</v>
      </c>
      <c r="AA903" s="376">
        <f t="shared" ref="AA903:AA966" si="44">T_gal(Z903)</f>
        <v>8.8571897719539767E-6</v>
      </c>
    </row>
    <row r="904" spans="1:27">
      <c r="A904" s="244">
        <f t="shared" si="42"/>
        <v>90.799999999998533</v>
      </c>
      <c r="B904" s="241">
        <v>11.6</v>
      </c>
      <c r="C904" s="242">
        <v>20.2</v>
      </c>
      <c r="D904" s="243">
        <v>31.7</v>
      </c>
      <c r="E904" s="241">
        <v>13</v>
      </c>
      <c r="F904" s="242">
        <v>22.8</v>
      </c>
      <c r="G904" s="243">
        <v>36</v>
      </c>
      <c r="H904" s="241">
        <v>15.2</v>
      </c>
      <c r="I904" s="242">
        <v>27.1</v>
      </c>
      <c r="J904" s="243">
        <v>42.9</v>
      </c>
      <c r="K904" s="241">
        <v>20.2</v>
      </c>
      <c r="L904" s="242">
        <v>36.5</v>
      </c>
      <c r="M904" s="243">
        <v>57.7</v>
      </c>
      <c r="N904" s="241">
        <v>35.299999999999997</v>
      </c>
      <c r="O904" s="242">
        <v>64.099999999999994</v>
      </c>
      <c r="P904" s="243">
        <v>99</v>
      </c>
      <c r="Z904" s="244">
        <f t="shared" si="43"/>
        <v>90.799999999998533</v>
      </c>
      <c r="AA904" s="376">
        <f t="shared" si="44"/>
        <v>8.8303904258138238E-6</v>
      </c>
    </row>
    <row r="905" spans="1:27">
      <c r="A905" s="244">
        <f t="shared" si="42"/>
        <v>90.899999999998528</v>
      </c>
      <c r="B905" s="241">
        <v>11.6</v>
      </c>
      <c r="C905" s="242">
        <v>20.2</v>
      </c>
      <c r="D905" s="243">
        <v>31.8</v>
      </c>
      <c r="E905" s="241">
        <v>12.9</v>
      </c>
      <c r="F905" s="242">
        <v>22.8</v>
      </c>
      <c r="G905" s="243">
        <v>36</v>
      </c>
      <c r="H905" s="241">
        <v>15.2</v>
      </c>
      <c r="I905" s="242">
        <v>27.1</v>
      </c>
      <c r="J905" s="243">
        <v>42.9</v>
      </c>
      <c r="K905" s="241">
        <v>20.2</v>
      </c>
      <c r="L905" s="242">
        <v>36.5</v>
      </c>
      <c r="M905" s="243">
        <v>57.8</v>
      </c>
      <c r="N905" s="241">
        <v>35.200000000000003</v>
      </c>
      <c r="O905" s="242">
        <v>64.099999999999994</v>
      </c>
      <c r="P905" s="243">
        <v>99</v>
      </c>
      <c r="Z905" s="244">
        <f t="shared" si="43"/>
        <v>90.899999999998528</v>
      </c>
      <c r="AA905" s="376">
        <f t="shared" si="44"/>
        <v>8.803701531619009E-6</v>
      </c>
    </row>
    <row r="906" spans="1:27">
      <c r="A906" s="244">
        <f t="shared" si="42"/>
        <v>90.999999999998522</v>
      </c>
      <c r="B906" s="241">
        <v>11.6</v>
      </c>
      <c r="C906" s="242">
        <v>20.2</v>
      </c>
      <c r="D906" s="243">
        <v>31.8</v>
      </c>
      <c r="E906" s="241">
        <v>12.9</v>
      </c>
      <c r="F906" s="242">
        <v>22.8</v>
      </c>
      <c r="G906" s="243">
        <v>36</v>
      </c>
      <c r="H906" s="241">
        <v>15.2</v>
      </c>
      <c r="I906" s="242">
        <v>27.1</v>
      </c>
      <c r="J906" s="243">
        <v>42.9</v>
      </c>
      <c r="K906" s="241">
        <v>20.100000000000001</v>
      </c>
      <c r="L906" s="242">
        <v>36.5</v>
      </c>
      <c r="M906" s="243">
        <v>57.8</v>
      </c>
      <c r="N906" s="241">
        <v>35.1</v>
      </c>
      <c r="O906" s="242">
        <v>64.099999999999994</v>
      </c>
      <c r="P906" s="243">
        <v>99.1</v>
      </c>
      <c r="Z906" s="244">
        <f t="shared" si="43"/>
        <v>90.999999999998522</v>
      </c>
      <c r="AA906" s="376">
        <f t="shared" si="44"/>
        <v>8.7771225133890609E-6</v>
      </c>
    </row>
    <row r="907" spans="1:27">
      <c r="A907" s="244">
        <f t="shared" si="42"/>
        <v>91.099999999998516</v>
      </c>
      <c r="B907" s="241">
        <v>11.6</v>
      </c>
      <c r="C907" s="242">
        <v>20.2</v>
      </c>
      <c r="D907" s="243">
        <v>31.8</v>
      </c>
      <c r="E907" s="241">
        <v>12.9</v>
      </c>
      <c r="F907" s="242">
        <v>22.8</v>
      </c>
      <c r="G907" s="243">
        <v>36</v>
      </c>
      <c r="H907" s="241">
        <v>15.1</v>
      </c>
      <c r="I907" s="242">
        <v>27.1</v>
      </c>
      <c r="J907" s="243">
        <v>43</v>
      </c>
      <c r="K907" s="241">
        <v>20.100000000000001</v>
      </c>
      <c r="L907" s="242">
        <v>36.5</v>
      </c>
      <c r="M907" s="243">
        <v>57.9</v>
      </c>
      <c r="N907" s="241">
        <v>35.1</v>
      </c>
      <c r="O907" s="242">
        <v>64.099999999999994</v>
      </c>
      <c r="P907" s="243">
        <v>99.2</v>
      </c>
      <c r="Z907" s="244">
        <f t="shared" si="43"/>
        <v>91.099999999998516</v>
      </c>
      <c r="AA907" s="376">
        <f t="shared" si="44"/>
        <v>8.7506527987754638E-6</v>
      </c>
    </row>
    <row r="908" spans="1:27">
      <c r="A908" s="244">
        <f t="shared" si="42"/>
        <v>91.199999999998511</v>
      </c>
      <c r="B908" s="241">
        <v>11.5</v>
      </c>
      <c r="C908" s="242">
        <v>20.2</v>
      </c>
      <c r="D908" s="243">
        <v>31.8</v>
      </c>
      <c r="E908" s="241">
        <v>12.9</v>
      </c>
      <c r="F908" s="242">
        <v>22.8</v>
      </c>
      <c r="G908" s="243">
        <v>36.1</v>
      </c>
      <c r="H908" s="241">
        <v>15.1</v>
      </c>
      <c r="I908" s="242">
        <v>27.1</v>
      </c>
      <c r="J908" s="243">
        <v>43</v>
      </c>
      <c r="K908" s="241">
        <v>20</v>
      </c>
      <c r="L908" s="242">
        <v>36.5</v>
      </c>
      <c r="M908" s="243">
        <v>57.9</v>
      </c>
      <c r="N908" s="241">
        <v>35</v>
      </c>
      <c r="O908" s="242">
        <v>64.099999999999994</v>
      </c>
      <c r="P908" s="243">
        <v>99.3</v>
      </c>
      <c r="Z908" s="244">
        <f t="shared" si="43"/>
        <v>91.199999999998511</v>
      </c>
      <c r="AA908" s="376">
        <f t="shared" si="44"/>
        <v>8.7242918190347874E-6</v>
      </c>
    </row>
    <row r="909" spans="1:27">
      <c r="A909" s="244">
        <f t="shared" si="42"/>
        <v>91.299999999998505</v>
      </c>
      <c r="B909" s="241">
        <v>11.5</v>
      </c>
      <c r="C909" s="242">
        <v>20.2</v>
      </c>
      <c r="D909" s="243">
        <v>31.9</v>
      </c>
      <c r="E909" s="241">
        <v>12.9</v>
      </c>
      <c r="F909" s="242">
        <v>22.8</v>
      </c>
      <c r="G909" s="243">
        <v>36.1</v>
      </c>
      <c r="H909" s="241">
        <v>15.1</v>
      </c>
      <c r="I909" s="242">
        <v>27.1</v>
      </c>
      <c r="J909" s="243">
        <v>43</v>
      </c>
      <c r="K909" s="241">
        <v>20</v>
      </c>
      <c r="L909" s="242">
        <v>36.6</v>
      </c>
      <c r="M909" s="243">
        <v>58</v>
      </c>
      <c r="N909" s="241">
        <v>34.9</v>
      </c>
      <c r="O909" s="242">
        <v>64.099999999999994</v>
      </c>
      <c r="P909" s="243">
        <v>99.3</v>
      </c>
      <c r="Z909" s="244">
        <f t="shared" si="43"/>
        <v>91.299999999998505</v>
      </c>
      <c r="AA909" s="376">
        <f t="shared" si="44"/>
        <v>8.6980390090020836E-6</v>
      </c>
    </row>
    <row r="910" spans="1:27">
      <c r="A910" s="244">
        <f t="shared" si="42"/>
        <v>91.399999999998499</v>
      </c>
      <c r="B910" s="241">
        <v>11.5</v>
      </c>
      <c r="C910" s="242">
        <v>20.2</v>
      </c>
      <c r="D910" s="243">
        <v>31.9</v>
      </c>
      <c r="E910" s="241">
        <v>12.8</v>
      </c>
      <c r="F910" s="242">
        <v>22.8</v>
      </c>
      <c r="G910" s="243">
        <v>36.1</v>
      </c>
      <c r="H910" s="241">
        <v>15.1</v>
      </c>
      <c r="I910" s="242">
        <v>27.1</v>
      </c>
      <c r="J910" s="243">
        <v>43.1</v>
      </c>
      <c r="K910" s="241">
        <v>20</v>
      </c>
      <c r="L910" s="242">
        <v>36.6</v>
      </c>
      <c r="M910" s="243">
        <v>58</v>
      </c>
      <c r="N910" s="241">
        <v>34.9</v>
      </c>
      <c r="O910" s="242">
        <v>64.099999999999994</v>
      </c>
      <c r="P910" s="243">
        <v>99.4</v>
      </c>
      <c r="Z910" s="244">
        <f t="shared" si="43"/>
        <v>91.399999999998499</v>
      </c>
      <c r="AA910" s="376">
        <f t="shared" si="44"/>
        <v>8.6718938070644457E-6</v>
      </c>
    </row>
    <row r="911" spans="1:27">
      <c r="A911" s="244">
        <f t="shared" si="42"/>
        <v>91.499999999998494</v>
      </c>
      <c r="B911" s="241">
        <v>11.5</v>
      </c>
      <c r="C911" s="242">
        <v>20.2</v>
      </c>
      <c r="D911" s="243">
        <v>31.9</v>
      </c>
      <c r="E911" s="241">
        <v>12.8</v>
      </c>
      <c r="F911" s="242">
        <v>22.8</v>
      </c>
      <c r="G911" s="243">
        <v>36.200000000000003</v>
      </c>
      <c r="H911" s="241">
        <v>15</v>
      </c>
      <c r="I911" s="242">
        <v>27.1</v>
      </c>
      <c r="J911" s="243">
        <v>43.1</v>
      </c>
      <c r="K911" s="241">
        <v>19.899999999999999</v>
      </c>
      <c r="L911" s="242">
        <v>36.6</v>
      </c>
      <c r="M911" s="243">
        <v>58.1</v>
      </c>
      <c r="N911" s="241">
        <v>34.799999999999997</v>
      </c>
      <c r="O911" s="242">
        <v>64.2</v>
      </c>
      <c r="P911" s="243">
        <v>99.5</v>
      </c>
      <c r="Z911" s="244">
        <f t="shared" si="43"/>
        <v>91.499999999998494</v>
      </c>
      <c r="AA911" s="376">
        <f t="shared" si="44"/>
        <v>8.6458556551348733E-6</v>
      </c>
    </row>
    <row r="912" spans="1:27">
      <c r="A912" s="244">
        <f t="shared" si="42"/>
        <v>91.599999999998488</v>
      </c>
      <c r="B912" s="241">
        <v>11.5</v>
      </c>
      <c r="C912" s="242">
        <v>20.2</v>
      </c>
      <c r="D912" s="243">
        <v>32</v>
      </c>
      <c r="E912" s="241">
        <v>12.8</v>
      </c>
      <c r="F912" s="242">
        <v>22.8</v>
      </c>
      <c r="G912" s="243">
        <v>36.200000000000003</v>
      </c>
      <c r="H912" s="241">
        <v>15</v>
      </c>
      <c r="I912" s="242">
        <v>27.1</v>
      </c>
      <c r="J912" s="243">
        <v>43.1</v>
      </c>
      <c r="K912" s="241">
        <v>19.899999999999999</v>
      </c>
      <c r="L912" s="242">
        <v>36.6</v>
      </c>
      <c r="M912" s="243">
        <v>58.1</v>
      </c>
      <c r="N912" s="241">
        <v>34.799999999999997</v>
      </c>
      <c r="O912" s="242">
        <v>64.2</v>
      </c>
      <c r="P912" s="243">
        <v>99.6</v>
      </c>
      <c r="Z912" s="244">
        <f t="shared" si="43"/>
        <v>91.599999999998488</v>
      </c>
      <c r="AA912" s="376">
        <f t="shared" si="44"/>
        <v>8.6199239986262795E-6</v>
      </c>
    </row>
    <row r="913" spans="1:27">
      <c r="A913" s="244">
        <f t="shared" si="42"/>
        <v>91.699999999998482</v>
      </c>
      <c r="B913" s="241">
        <v>11.5</v>
      </c>
      <c r="C913" s="242">
        <v>20.2</v>
      </c>
      <c r="D913" s="243">
        <v>32</v>
      </c>
      <c r="E913" s="241">
        <v>12.8</v>
      </c>
      <c r="F913" s="242">
        <v>22.8</v>
      </c>
      <c r="G913" s="243">
        <v>36.200000000000003</v>
      </c>
      <c r="H913" s="241">
        <v>15</v>
      </c>
      <c r="I913" s="242">
        <v>27.1</v>
      </c>
      <c r="J913" s="243">
        <v>43.2</v>
      </c>
      <c r="K913" s="241">
        <v>19.899999999999999</v>
      </c>
      <c r="L913" s="242">
        <v>36.6</v>
      </c>
      <c r="M913" s="243">
        <v>58.2</v>
      </c>
      <c r="N913" s="241">
        <v>34.700000000000003</v>
      </c>
      <c r="O913" s="242">
        <v>64.2</v>
      </c>
      <c r="P913" s="243">
        <v>99.6</v>
      </c>
      <c r="Z913" s="244">
        <f t="shared" si="43"/>
        <v>91.699999999998482</v>
      </c>
      <c r="AA913" s="376">
        <f t="shared" si="44"/>
        <v>8.5940982864257759E-6</v>
      </c>
    </row>
    <row r="914" spans="1:27">
      <c r="A914" s="244">
        <f t="shared" si="42"/>
        <v>91.799999999998477</v>
      </c>
      <c r="B914" s="241">
        <v>11.4</v>
      </c>
      <c r="C914" s="242">
        <v>20.2</v>
      </c>
      <c r="D914" s="243">
        <v>32</v>
      </c>
      <c r="E914" s="241">
        <v>12.8</v>
      </c>
      <c r="F914" s="242">
        <v>22.8</v>
      </c>
      <c r="G914" s="243">
        <v>36.299999999999997</v>
      </c>
      <c r="H914" s="241">
        <v>15</v>
      </c>
      <c r="I914" s="242">
        <v>27.1</v>
      </c>
      <c r="J914" s="243">
        <v>43.2</v>
      </c>
      <c r="K914" s="241">
        <v>19.899999999999999</v>
      </c>
      <c r="L914" s="242">
        <v>36.6</v>
      </c>
      <c r="M914" s="243">
        <v>58.2</v>
      </c>
      <c r="N914" s="241">
        <v>34.6</v>
      </c>
      <c r="O914" s="242">
        <v>64.2</v>
      </c>
      <c r="P914" s="243">
        <v>99.7</v>
      </c>
      <c r="Z914" s="244">
        <f t="shared" si="43"/>
        <v>91.799999999998477</v>
      </c>
      <c r="AA914" s="376">
        <f t="shared" si="44"/>
        <v>8.5683779708691451E-6</v>
      </c>
    </row>
    <row r="915" spans="1:27">
      <c r="A915" s="244">
        <f t="shared" si="42"/>
        <v>91.899999999998471</v>
      </c>
      <c r="B915" s="241">
        <v>11.4</v>
      </c>
      <c r="C915" s="242">
        <v>20.2</v>
      </c>
      <c r="D915" s="243">
        <v>32</v>
      </c>
      <c r="E915" s="241">
        <v>12.7</v>
      </c>
      <c r="F915" s="242">
        <v>22.8</v>
      </c>
      <c r="G915" s="243">
        <v>36.299999999999997</v>
      </c>
      <c r="H915" s="241">
        <v>14.9</v>
      </c>
      <c r="I915" s="242">
        <v>27.1</v>
      </c>
      <c r="J915" s="243">
        <v>43.3</v>
      </c>
      <c r="K915" s="241">
        <v>19.8</v>
      </c>
      <c r="L915" s="242">
        <v>36.6</v>
      </c>
      <c r="M915" s="243">
        <v>58.3</v>
      </c>
      <c r="N915" s="241">
        <v>34.6</v>
      </c>
      <c r="O915" s="242">
        <v>64.2</v>
      </c>
      <c r="P915" s="243">
        <v>99.8</v>
      </c>
      <c r="Z915" s="244">
        <f t="shared" si="43"/>
        <v>91.899999999998471</v>
      </c>
      <c r="AA915" s="376">
        <f t="shared" si="44"/>
        <v>8.5427625077155195E-6</v>
      </c>
    </row>
    <row r="916" spans="1:27">
      <c r="A916" s="244">
        <f t="shared" si="42"/>
        <v>91.999999999998465</v>
      </c>
      <c r="B916" s="241">
        <v>11.4</v>
      </c>
      <c r="C916" s="242">
        <v>20.2</v>
      </c>
      <c r="D916" s="243">
        <v>32.1</v>
      </c>
      <c r="E916" s="241">
        <v>12.7</v>
      </c>
      <c r="F916" s="242">
        <v>22.8</v>
      </c>
      <c r="G916" s="243">
        <v>36.299999999999997</v>
      </c>
      <c r="H916" s="241">
        <v>14.9</v>
      </c>
      <c r="I916" s="242">
        <v>27.1</v>
      </c>
      <c r="J916" s="243">
        <v>43.3</v>
      </c>
      <c r="K916" s="241">
        <v>19.8</v>
      </c>
      <c r="L916" s="242">
        <v>36.6</v>
      </c>
      <c r="M916" s="243">
        <v>58.3</v>
      </c>
      <c r="N916" s="241">
        <v>34.5</v>
      </c>
      <c r="O916" s="242">
        <v>64.2</v>
      </c>
      <c r="P916" s="243">
        <v>99.9</v>
      </c>
      <c r="Z916" s="244">
        <f t="shared" si="43"/>
        <v>91.999999999998465</v>
      </c>
      <c r="AA916" s="376">
        <f t="shared" si="44"/>
        <v>8.5172513561223106E-6</v>
      </c>
    </row>
    <row r="917" spans="1:27">
      <c r="A917" s="244">
        <f t="shared" si="42"/>
        <v>92.09999999999846</v>
      </c>
      <c r="B917" s="241">
        <v>11.4</v>
      </c>
      <c r="C917" s="242">
        <v>20.2</v>
      </c>
      <c r="D917" s="243">
        <v>32.1</v>
      </c>
      <c r="E917" s="241">
        <v>12.7</v>
      </c>
      <c r="F917" s="242">
        <v>22.8</v>
      </c>
      <c r="G917" s="243">
        <v>36.4</v>
      </c>
      <c r="H917" s="241">
        <v>14.9</v>
      </c>
      <c r="I917" s="242">
        <v>27.2</v>
      </c>
      <c r="J917" s="243">
        <v>43.3</v>
      </c>
      <c r="K917" s="241">
        <v>19.8</v>
      </c>
      <c r="L917" s="242">
        <v>36.6</v>
      </c>
      <c r="M917" s="243">
        <v>58.4</v>
      </c>
      <c r="N917" s="241">
        <v>34.5</v>
      </c>
      <c r="O917" s="242">
        <v>64.2</v>
      </c>
      <c r="P917" s="243">
        <v>100</v>
      </c>
      <c r="Z917" s="244">
        <f t="shared" si="43"/>
        <v>92.09999999999846</v>
      </c>
      <c r="AA917" s="376">
        <f t="shared" si="44"/>
        <v>8.4918439786203185E-6</v>
      </c>
    </row>
    <row r="918" spans="1:27">
      <c r="A918" s="244">
        <f t="shared" si="42"/>
        <v>92.199999999998454</v>
      </c>
      <c r="B918" s="241">
        <v>11.4</v>
      </c>
      <c r="C918" s="242">
        <v>20.2</v>
      </c>
      <c r="D918" s="243">
        <v>32.1</v>
      </c>
      <c r="E918" s="241">
        <v>12.7</v>
      </c>
      <c r="F918" s="242">
        <v>22.8</v>
      </c>
      <c r="G918" s="243">
        <v>36.4</v>
      </c>
      <c r="H918" s="241">
        <v>14.9</v>
      </c>
      <c r="I918" s="242">
        <v>27.2</v>
      </c>
      <c r="J918" s="243">
        <v>43.4</v>
      </c>
      <c r="K918" s="241">
        <v>19.7</v>
      </c>
      <c r="L918" s="242">
        <v>36.6</v>
      </c>
      <c r="M918" s="243">
        <v>58.4</v>
      </c>
      <c r="N918" s="241">
        <v>34.4</v>
      </c>
      <c r="O918" s="242">
        <v>64.3</v>
      </c>
      <c r="P918" s="243">
        <v>100.1</v>
      </c>
      <c r="Z918" s="244">
        <f t="shared" si="43"/>
        <v>92.199999999998454</v>
      </c>
      <c r="AA918" s="376">
        <f t="shared" si="44"/>
        <v>8.4665398410890504E-6</v>
      </c>
    </row>
    <row r="919" spans="1:27">
      <c r="A919" s="244">
        <f t="shared" si="42"/>
        <v>92.299999999998448</v>
      </c>
      <c r="B919" s="241">
        <v>11.4</v>
      </c>
      <c r="C919" s="242">
        <v>20.2</v>
      </c>
      <c r="D919" s="243">
        <v>32.200000000000003</v>
      </c>
      <c r="E919" s="241">
        <v>12.7</v>
      </c>
      <c r="F919" s="242">
        <v>22.9</v>
      </c>
      <c r="G919" s="243">
        <v>36.4</v>
      </c>
      <c r="H919" s="241">
        <v>14.9</v>
      </c>
      <c r="I919" s="242">
        <v>27.2</v>
      </c>
      <c r="J919" s="243">
        <v>43.4</v>
      </c>
      <c r="K919" s="241">
        <v>19.7</v>
      </c>
      <c r="L919" s="242">
        <v>36.6</v>
      </c>
      <c r="M919" s="243">
        <v>58.5</v>
      </c>
      <c r="N919" s="241">
        <v>34.4</v>
      </c>
      <c r="O919" s="242">
        <v>64.3</v>
      </c>
      <c r="P919" s="243">
        <v>100.1</v>
      </c>
      <c r="Z919" s="244">
        <f t="shared" si="43"/>
        <v>92.299999999998448</v>
      </c>
      <c r="AA919" s="376">
        <f t="shared" si="44"/>
        <v>8.4413384127322676E-6</v>
      </c>
    </row>
    <row r="920" spans="1:27">
      <c r="A920" s="244">
        <f t="shared" si="42"/>
        <v>92.399999999998442</v>
      </c>
      <c r="B920" s="241">
        <v>11.4</v>
      </c>
      <c r="C920" s="242">
        <v>20.2</v>
      </c>
      <c r="D920" s="243">
        <v>32.200000000000003</v>
      </c>
      <c r="E920" s="241">
        <v>12.7</v>
      </c>
      <c r="F920" s="242">
        <v>22.9</v>
      </c>
      <c r="G920" s="243">
        <v>36.5</v>
      </c>
      <c r="H920" s="241">
        <v>14.8</v>
      </c>
      <c r="I920" s="242">
        <v>27.2</v>
      </c>
      <c r="J920" s="243">
        <v>43.5</v>
      </c>
      <c r="K920" s="241">
        <v>19.7</v>
      </c>
      <c r="L920" s="242">
        <v>36.6</v>
      </c>
      <c r="M920" s="243">
        <v>58.5</v>
      </c>
      <c r="N920" s="241">
        <v>34.299999999999997</v>
      </c>
      <c r="O920" s="242">
        <v>64.3</v>
      </c>
      <c r="P920" s="243">
        <v>100.2</v>
      </c>
      <c r="Z920" s="244">
        <f t="shared" si="43"/>
        <v>92.399999999998442</v>
      </c>
      <c r="AA920" s="376">
        <f t="shared" si="44"/>
        <v>8.416239166053712E-6</v>
      </c>
    </row>
    <row r="921" spans="1:27">
      <c r="A921" s="244">
        <f t="shared" si="42"/>
        <v>92.499999999998437</v>
      </c>
      <c r="B921" s="241">
        <v>11.3</v>
      </c>
      <c r="C921" s="242">
        <v>20.3</v>
      </c>
      <c r="D921" s="243">
        <v>32.200000000000003</v>
      </c>
      <c r="E921" s="241">
        <v>12.6</v>
      </c>
      <c r="F921" s="242">
        <v>22.9</v>
      </c>
      <c r="G921" s="243">
        <v>36.5</v>
      </c>
      <c r="H921" s="241">
        <v>14.8</v>
      </c>
      <c r="I921" s="242">
        <v>27.2</v>
      </c>
      <c r="J921" s="243">
        <v>43.5</v>
      </c>
      <c r="K921" s="241">
        <v>19.7</v>
      </c>
      <c r="L921" s="242">
        <v>36.700000000000003</v>
      </c>
      <c r="M921" s="243">
        <v>58.6</v>
      </c>
      <c r="N921" s="241">
        <v>34.299999999999997</v>
      </c>
      <c r="O921" s="242">
        <v>64.3</v>
      </c>
      <c r="P921" s="243">
        <v>100.3</v>
      </c>
      <c r="Z921" s="244">
        <f t="shared" si="43"/>
        <v>92.499999999998437</v>
      </c>
      <c r="AA921" s="376">
        <f t="shared" si="44"/>
        <v>8.3912415768330546E-6</v>
      </c>
    </row>
    <row r="922" spans="1:27">
      <c r="A922" s="244">
        <f t="shared" si="42"/>
        <v>92.599999999998431</v>
      </c>
      <c r="B922" s="241">
        <v>11.3</v>
      </c>
      <c r="C922" s="242">
        <v>20.3</v>
      </c>
      <c r="D922" s="243">
        <v>32.299999999999997</v>
      </c>
      <c r="E922" s="241">
        <v>12.6</v>
      </c>
      <c r="F922" s="242">
        <v>22.9</v>
      </c>
      <c r="G922" s="243">
        <v>36.5</v>
      </c>
      <c r="H922" s="241">
        <v>14.8</v>
      </c>
      <c r="I922" s="242">
        <v>27.2</v>
      </c>
      <c r="J922" s="243">
        <v>43.5</v>
      </c>
      <c r="K922" s="241">
        <v>19.600000000000001</v>
      </c>
      <c r="L922" s="242">
        <v>36.700000000000003</v>
      </c>
      <c r="M922" s="243">
        <v>58.6</v>
      </c>
      <c r="N922" s="241">
        <v>34.299999999999997</v>
      </c>
      <c r="O922" s="242">
        <v>64.3</v>
      </c>
      <c r="P922" s="243">
        <v>100.4</v>
      </c>
      <c r="Z922" s="244">
        <f t="shared" si="43"/>
        <v>92.599999999998431</v>
      </c>
      <c r="AA922" s="376">
        <f t="shared" si="44"/>
        <v>8.3663451241020459E-6</v>
      </c>
    </row>
    <row r="923" spans="1:27">
      <c r="A923" s="244">
        <f t="shared" si="42"/>
        <v>92.699999999998425</v>
      </c>
      <c r="B923" s="241">
        <v>11.3</v>
      </c>
      <c r="C923" s="242">
        <v>20.3</v>
      </c>
      <c r="D923" s="243">
        <v>32.299999999999997</v>
      </c>
      <c r="E923" s="241">
        <v>12.6</v>
      </c>
      <c r="F923" s="242">
        <v>22.9</v>
      </c>
      <c r="G923" s="243">
        <v>36.6</v>
      </c>
      <c r="H923" s="241">
        <v>14.8</v>
      </c>
      <c r="I923" s="242">
        <v>27.2</v>
      </c>
      <c r="J923" s="243">
        <v>43.6</v>
      </c>
      <c r="K923" s="241">
        <v>19.600000000000001</v>
      </c>
      <c r="L923" s="242">
        <v>36.700000000000003</v>
      </c>
      <c r="M923" s="243">
        <v>58.7</v>
      </c>
      <c r="N923" s="241">
        <v>34.200000000000003</v>
      </c>
      <c r="O923" s="242">
        <v>64.400000000000006</v>
      </c>
      <c r="P923" s="243">
        <v>100.5</v>
      </c>
      <c r="Z923" s="244">
        <f t="shared" si="43"/>
        <v>92.699999999998425</v>
      </c>
      <c r="AA923" s="376">
        <f t="shared" si="44"/>
        <v>8.3415492901208313E-6</v>
      </c>
    </row>
    <row r="924" spans="1:27">
      <c r="A924" s="244">
        <f t="shared" si="42"/>
        <v>92.79999999999842</v>
      </c>
      <c r="B924" s="241">
        <v>11.3</v>
      </c>
      <c r="C924" s="242">
        <v>20.3</v>
      </c>
      <c r="D924" s="243">
        <v>32.299999999999997</v>
      </c>
      <c r="E924" s="241">
        <v>12.6</v>
      </c>
      <c r="F924" s="242">
        <v>22.9</v>
      </c>
      <c r="G924" s="243">
        <v>36.6</v>
      </c>
      <c r="H924" s="241">
        <v>14.8</v>
      </c>
      <c r="I924" s="242">
        <v>27.2</v>
      </c>
      <c r="J924" s="243">
        <v>43.6</v>
      </c>
      <c r="K924" s="241">
        <v>19.600000000000001</v>
      </c>
      <c r="L924" s="242">
        <v>36.700000000000003</v>
      </c>
      <c r="M924" s="243">
        <v>58.8</v>
      </c>
      <c r="N924" s="241">
        <v>34.200000000000003</v>
      </c>
      <c r="O924" s="242">
        <v>64.400000000000006</v>
      </c>
      <c r="P924" s="243">
        <v>100.6</v>
      </c>
      <c r="Z924" s="244">
        <f t="shared" si="43"/>
        <v>92.79999999999842</v>
      </c>
      <c r="AA924" s="376">
        <f t="shared" si="44"/>
        <v>8.3168535603545358E-6</v>
      </c>
    </row>
    <row r="925" spans="1:27">
      <c r="A925" s="244">
        <f t="shared" si="42"/>
        <v>92.899999999998414</v>
      </c>
      <c r="B925" s="241">
        <v>11.3</v>
      </c>
      <c r="C925" s="242">
        <v>20.3</v>
      </c>
      <c r="D925" s="243">
        <v>32.4</v>
      </c>
      <c r="E925" s="241">
        <v>12.6</v>
      </c>
      <c r="F925" s="242">
        <v>22.9</v>
      </c>
      <c r="G925" s="243">
        <v>36.6</v>
      </c>
      <c r="H925" s="241">
        <v>14.8</v>
      </c>
      <c r="I925" s="242">
        <v>27.2</v>
      </c>
      <c r="J925" s="243">
        <v>43.7</v>
      </c>
      <c r="K925" s="241">
        <v>19.600000000000001</v>
      </c>
      <c r="L925" s="242">
        <v>36.700000000000003</v>
      </c>
      <c r="M925" s="243">
        <v>58.8</v>
      </c>
      <c r="N925" s="241">
        <v>34.1</v>
      </c>
      <c r="O925" s="242">
        <v>64.400000000000006</v>
      </c>
      <c r="P925" s="243">
        <v>100.7</v>
      </c>
      <c r="Z925" s="244">
        <f t="shared" si="43"/>
        <v>92.899999999998414</v>
      </c>
      <c r="AA925" s="376">
        <f t="shared" si="44"/>
        <v>8.2922574234499469E-6</v>
      </c>
    </row>
    <row r="926" spans="1:27">
      <c r="A926" s="244">
        <f t="shared" si="42"/>
        <v>92.999999999998408</v>
      </c>
      <c r="B926" s="241">
        <v>11.3</v>
      </c>
      <c r="C926" s="242">
        <v>20.3</v>
      </c>
      <c r="D926" s="243">
        <v>32.4</v>
      </c>
      <c r="E926" s="241">
        <v>12.6</v>
      </c>
      <c r="F926" s="242">
        <v>22.9</v>
      </c>
      <c r="G926" s="243">
        <v>36.700000000000003</v>
      </c>
      <c r="H926" s="241">
        <v>14.7</v>
      </c>
      <c r="I926" s="242">
        <v>27.2</v>
      </c>
      <c r="J926" s="243">
        <v>43.7</v>
      </c>
      <c r="K926" s="241">
        <v>19.5</v>
      </c>
      <c r="L926" s="242">
        <v>36.700000000000003</v>
      </c>
      <c r="M926" s="243">
        <v>58.9</v>
      </c>
      <c r="N926" s="241">
        <v>34.1</v>
      </c>
      <c r="O926" s="242">
        <v>64.400000000000006</v>
      </c>
      <c r="P926" s="243">
        <v>100.8</v>
      </c>
      <c r="Z926" s="244">
        <f t="shared" si="43"/>
        <v>92.999999999998408</v>
      </c>
      <c r="AA926" s="376">
        <f t="shared" si="44"/>
        <v>8.2677603712124818E-6</v>
      </c>
    </row>
    <row r="927" spans="1:27">
      <c r="A927" s="244">
        <f t="shared" si="42"/>
        <v>93.099999999998403</v>
      </c>
      <c r="B927" s="241">
        <v>11.3</v>
      </c>
      <c r="C927" s="242">
        <v>20.3</v>
      </c>
      <c r="D927" s="243">
        <v>32.4</v>
      </c>
      <c r="E927" s="241">
        <v>12.6</v>
      </c>
      <c r="F927" s="242">
        <v>22.9</v>
      </c>
      <c r="G927" s="243">
        <v>36.700000000000003</v>
      </c>
      <c r="H927" s="241">
        <v>14.7</v>
      </c>
      <c r="I927" s="242">
        <v>27.2</v>
      </c>
      <c r="J927" s="243">
        <v>43.8</v>
      </c>
      <c r="K927" s="241">
        <v>19.5</v>
      </c>
      <c r="L927" s="242">
        <v>36.700000000000003</v>
      </c>
      <c r="M927" s="243">
        <v>58.9</v>
      </c>
      <c r="N927" s="241">
        <v>34</v>
      </c>
      <c r="O927" s="242">
        <v>64.5</v>
      </c>
      <c r="P927" s="243">
        <v>100.9</v>
      </c>
      <c r="Z927" s="244">
        <f t="shared" si="43"/>
        <v>93.099999999998403</v>
      </c>
      <c r="AA927" s="376">
        <f t="shared" si="44"/>
        <v>8.2433618985832959E-6</v>
      </c>
    </row>
    <row r="928" spans="1:27">
      <c r="A928" s="244">
        <f t="shared" si="42"/>
        <v>93.199999999998397</v>
      </c>
      <c r="B928" s="241">
        <v>11.3</v>
      </c>
      <c r="C928" s="242">
        <v>20.3</v>
      </c>
      <c r="D928" s="243">
        <v>32.5</v>
      </c>
      <c r="E928" s="241">
        <v>12.5</v>
      </c>
      <c r="F928" s="242">
        <v>22.9</v>
      </c>
      <c r="G928" s="243">
        <v>36.799999999999997</v>
      </c>
      <c r="H928" s="241">
        <v>14.7</v>
      </c>
      <c r="I928" s="242">
        <v>27.3</v>
      </c>
      <c r="J928" s="243">
        <v>43.8</v>
      </c>
      <c r="K928" s="241">
        <v>19.5</v>
      </c>
      <c r="L928" s="242">
        <v>36.799999999999997</v>
      </c>
      <c r="M928" s="243">
        <v>59</v>
      </c>
      <c r="N928" s="241">
        <v>34</v>
      </c>
      <c r="O928" s="242">
        <v>64.5</v>
      </c>
      <c r="P928" s="243">
        <v>101</v>
      </c>
      <c r="Z928" s="244">
        <f t="shared" si="43"/>
        <v>93.199999999998397</v>
      </c>
      <c r="AA928" s="376">
        <f t="shared" si="44"/>
        <v>8.2190615036165854E-6</v>
      </c>
    </row>
    <row r="929" spans="1:27">
      <c r="A929" s="244">
        <f t="shared" si="42"/>
        <v>93.299999999998391</v>
      </c>
      <c r="B929" s="241">
        <v>11.2</v>
      </c>
      <c r="C929" s="242">
        <v>20.3</v>
      </c>
      <c r="D929" s="243">
        <v>32.5</v>
      </c>
      <c r="E929" s="241">
        <v>12.5</v>
      </c>
      <c r="F929" s="242">
        <v>22.9</v>
      </c>
      <c r="G929" s="243">
        <v>36.799999999999997</v>
      </c>
      <c r="H929" s="241">
        <v>14.7</v>
      </c>
      <c r="I929" s="242">
        <v>27.3</v>
      </c>
      <c r="J929" s="243">
        <v>43.9</v>
      </c>
      <c r="K929" s="241">
        <v>19.5</v>
      </c>
      <c r="L929" s="242">
        <v>36.799999999999997</v>
      </c>
      <c r="M929" s="243">
        <v>59.1</v>
      </c>
      <c r="N929" s="241">
        <v>34</v>
      </c>
      <c r="O929" s="242">
        <v>64.5</v>
      </c>
      <c r="P929" s="243">
        <v>101.1</v>
      </c>
      <c r="Z929" s="244">
        <f t="shared" si="43"/>
        <v>93.299999999998391</v>
      </c>
      <c r="AA929" s="376">
        <f t="shared" si="44"/>
        <v>8.1948586874571071E-6</v>
      </c>
    </row>
    <row r="930" spans="1:27">
      <c r="A930" s="244">
        <f t="shared" si="42"/>
        <v>93.399999999998386</v>
      </c>
      <c r="B930" s="241">
        <v>11.2</v>
      </c>
      <c r="C930" s="242">
        <v>20.3</v>
      </c>
      <c r="D930" s="243">
        <v>32.5</v>
      </c>
      <c r="E930" s="241">
        <v>12.5</v>
      </c>
      <c r="F930" s="242">
        <v>23</v>
      </c>
      <c r="G930" s="243">
        <v>36.799999999999997</v>
      </c>
      <c r="H930" s="241">
        <v>14.7</v>
      </c>
      <c r="I930" s="242">
        <v>27.3</v>
      </c>
      <c r="J930" s="243">
        <v>43.9</v>
      </c>
      <c r="K930" s="241">
        <v>19.5</v>
      </c>
      <c r="L930" s="242">
        <v>36.799999999999997</v>
      </c>
      <c r="M930" s="243">
        <v>59.1</v>
      </c>
      <c r="N930" s="241">
        <v>33.9</v>
      </c>
      <c r="O930" s="242">
        <v>64.599999999999994</v>
      </c>
      <c r="P930" s="243">
        <v>101.2</v>
      </c>
      <c r="Z930" s="244">
        <f t="shared" si="43"/>
        <v>93.399999999998386</v>
      </c>
      <c r="AA930" s="376">
        <f t="shared" si="44"/>
        <v>8.1707529543178322E-6</v>
      </c>
    </row>
    <row r="931" spans="1:27">
      <c r="A931" s="244">
        <f t="shared" si="42"/>
        <v>93.49999999999838</v>
      </c>
      <c r="B931" s="241">
        <v>11.2</v>
      </c>
      <c r="C931" s="242">
        <v>20.3</v>
      </c>
      <c r="D931" s="243">
        <v>32.6</v>
      </c>
      <c r="E931" s="241">
        <v>12.5</v>
      </c>
      <c r="F931" s="242">
        <v>23</v>
      </c>
      <c r="G931" s="243">
        <v>36.9</v>
      </c>
      <c r="H931" s="241">
        <v>14.7</v>
      </c>
      <c r="I931" s="242">
        <v>27.3</v>
      </c>
      <c r="J931" s="243">
        <v>44</v>
      </c>
      <c r="K931" s="241">
        <v>19.399999999999999</v>
      </c>
      <c r="L931" s="242">
        <v>36.799999999999997</v>
      </c>
      <c r="M931" s="243">
        <v>59.2</v>
      </c>
      <c r="N931" s="241">
        <v>33.9</v>
      </c>
      <c r="O931" s="242">
        <v>64.599999999999994</v>
      </c>
      <c r="P931" s="243">
        <v>101.3</v>
      </c>
      <c r="Z931" s="244">
        <f t="shared" si="43"/>
        <v>93.49999999999838</v>
      </c>
      <c r="AA931" s="376">
        <f t="shared" si="44"/>
        <v>8.1467438114578603E-6</v>
      </c>
    </row>
    <row r="932" spans="1:27">
      <c r="A932" s="244">
        <f t="shared" si="42"/>
        <v>93.599999999998374</v>
      </c>
      <c r="B932" s="241">
        <v>11.2</v>
      </c>
      <c r="C932" s="242">
        <v>20.3</v>
      </c>
      <c r="D932" s="243">
        <v>32.6</v>
      </c>
      <c r="E932" s="241">
        <v>12.5</v>
      </c>
      <c r="F932" s="242">
        <v>23</v>
      </c>
      <c r="G932" s="243">
        <v>36.9</v>
      </c>
      <c r="H932" s="241">
        <v>14.6</v>
      </c>
      <c r="I932" s="242">
        <v>27.3</v>
      </c>
      <c r="J932" s="243">
        <v>44</v>
      </c>
      <c r="K932" s="241">
        <v>19.399999999999999</v>
      </c>
      <c r="L932" s="242">
        <v>36.799999999999997</v>
      </c>
      <c r="M932" s="243">
        <v>59.2</v>
      </c>
      <c r="N932" s="241">
        <v>33.9</v>
      </c>
      <c r="O932" s="242">
        <v>64.599999999999994</v>
      </c>
      <c r="P932" s="243">
        <v>101.4</v>
      </c>
      <c r="Z932" s="244">
        <f t="shared" si="43"/>
        <v>93.599999999998374</v>
      </c>
      <c r="AA932" s="376">
        <f t="shared" si="44"/>
        <v>8.1228307691604192E-6</v>
      </c>
    </row>
    <row r="933" spans="1:27">
      <c r="A933" s="244">
        <f t="shared" si="42"/>
        <v>93.699999999998369</v>
      </c>
      <c r="B933" s="241">
        <v>11.2</v>
      </c>
      <c r="C933" s="242">
        <v>20.399999999999999</v>
      </c>
      <c r="D933" s="243">
        <v>32.6</v>
      </c>
      <c r="E933" s="241">
        <v>12.5</v>
      </c>
      <c r="F933" s="242">
        <v>23</v>
      </c>
      <c r="G933" s="243">
        <v>37</v>
      </c>
      <c r="H933" s="241">
        <v>14.6</v>
      </c>
      <c r="I933" s="242">
        <v>27.3</v>
      </c>
      <c r="J933" s="243">
        <v>44.1</v>
      </c>
      <c r="K933" s="241">
        <v>19.399999999999999</v>
      </c>
      <c r="L933" s="242">
        <v>36.9</v>
      </c>
      <c r="M933" s="243">
        <v>59.3</v>
      </c>
      <c r="N933" s="241">
        <v>33.799999999999997</v>
      </c>
      <c r="O933" s="242">
        <v>64.7</v>
      </c>
      <c r="P933" s="243">
        <v>101.5</v>
      </c>
      <c r="Z933" s="244">
        <f t="shared" si="43"/>
        <v>93.699999999998369</v>
      </c>
      <c r="AA933" s="376">
        <f t="shared" si="44"/>
        <v>8.0990133407111549E-6</v>
      </c>
    </row>
    <row r="934" spans="1:27">
      <c r="A934" s="244">
        <f t="shared" si="42"/>
        <v>93.799999999998363</v>
      </c>
      <c r="B934" s="241">
        <v>11.2</v>
      </c>
      <c r="C934" s="242">
        <v>20.399999999999999</v>
      </c>
      <c r="D934" s="243">
        <v>32.700000000000003</v>
      </c>
      <c r="E934" s="241">
        <v>12.5</v>
      </c>
      <c r="F934" s="242">
        <v>23</v>
      </c>
      <c r="G934" s="243">
        <v>37</v>
      </c>
      <c r="H934" s="241">
        <v>14.6</v>
      </c>
      <c r="I934" s="242">
        <v>27.3</v>
      </c>
      <c r="J934" s="243">
        <v>44.1</v>
      </c>
      <c r="K934" s="241">
        <v>19.399999999999999</v>
      </c>
      <c r="L934" s="242">
        <v>36.9</v>
      </c>
      <c r="M934" s="243">
        <v>59.4</v>
      </c>
      <c r="N934" s="241">
        <v>33.799999999999997</v>
      </c>
      <c r="O934" s="242">
        <v>64.7</v>
      </c>
      <c r="P934" s="243">
        <v>101.6</v>
      </c>
      <c r="Z934" s="244">
        <f t="shared" si="43"/>
        <v>93.799999999998363</v>
      </c>
      <c r="AA934" s="376">
        <f t="shared" si="44"/>
        <v>8.0752910423765001E-6</v>
      </c>
    </row>
    <row r="935" spans="1:27">
      <c r="A935" s="244">
        <f t="shared" si="42"/>
        <v>93.899999999998357</v>
      </c>
      <c r="B935" s="241">
        <v>11.2</v>
      </c>
      <c r="C935" s="242">
        <v>20.399999999999999</v>
      </c>
      <c r="D935" s="243">
        <v>32.700000000000003</v>
      </c>
      <c r="E935" s="241">
        <v>12.5</v>
      </c>
      <c r="F935" s="242">
        <v>23</v>
      </c>
      <c r="G935" s="243">
        <v>37</v>
      </c>
      <c r="H935" s="241">
        <v>14.6</v>
      </c>
      <c r="I935" s="242">
        <v>27.4</v>
      </c>
      <c r="J935" s="243">
        <v>44.1</v>
      </c>
      <c r="K935" s="241">
        <v>19.399999999999999</v>
      </c>
      <c r="L935" s="242">
        <v>36.9</v>
      </c>
      <c r="M935" s="243">
        <v>59.4</v>
      </c>
      <c r="N935" s="241">
        <v>33.799999999999997</v>
      </c>
      <c r="O935" s="242">
        <v>64.7</v>
      </c>
      <c r="P935" s="243">
        <v>101.7</v>
      </c>
      <c r="Z935" s="244">
        <f t="shared" si="43"/>
        <v>93.899999999998357</v>
      </c>
      <c r="AA935" s="376">
        <f t="shared" si="44"/>
        <v>8.051663393382299E-6</v>
      </c>
    </row>
    <row r="936" spans="1:27">
      <c r="A936" s="244">
        <f t="shared" si="42"/>
        <v>93.999999999998352</v>
      </c>
      <c r="B936" s="241">
        <v>11.2</v>
      </c>
      <c r="C936" s="242">
        <v>20.399999999999999</v>
      </c>
      <c r="D936" s="243">
        <v>32.700000000000003</v>
      </c>
      <c r="E936" s="241">
        <v>12.5</v>
      </c>
      <c r="F936" s="242">
        <v>23</v>
      </c>
      <c r="G936" s="243">
        <v>37.1</v>
      </c>
      <c r="H936" s="241">
        <v>14.6</v>
      </c>
      <c r="I936" s="242">
        <v>27.4</v>
      </c>
      <c r="J936" s="243">
        <v>44.2</v>
      </c>
      <c r="K936" s="241">
        <v>19.3</v>
      </c>
      <c r="L936" s="242">
        <v>36.9</v>
      </c>
      <c r="M936" s="243">
        <v>59.5</v>
      </c>
      <c r="N936" s="241">
        <v>33.700000000000003</v>
      </c>
      <c r="O936" s="242">
        <v>64.8</v>
      </c>
      <c r="P936" s="243">
        <v>101.8</v>
      </c>
      <c r="Z936" s="244">
        <f t="shared" si="43"/>
        <v>93.999999999998352</v>
      </c>
      <c r="AA936" s="376">
        <f t="shared" si="44"/>
        <v>8.028129915892553E-6</v>
      </c>
    </row>
    <row r="937" spans="1:27">
      <c r="A937" s="244">
        <f t="shared" si="42"/>
        <v>94.099999999998346</v>
      </c>
      <c r="B937" s="241">
        <v>11.2</v>
      </c>
      <c r="C937" s="242">
        <v>20.399999999999999</v>
      </c>
      <c r="D937" s="243">
        <v>32.799999999999997</v>
      </c>
      <c r="E937" s="241">
        <v>12.5</v>
      </c>
      <c r="F937" s="242">
        <v>23</v>
      </c>
      <c r="G937" s="243">
        <v>37.1</v>
      </c>
      <c r="H937" s="241">
        <v>14.6</v>
      </c>
      <c r="I937" s="242">
        <v>27.4</v>
      </c>
      <c r="J937" s="243">
        <v>44.2</v>
      </c>
      <c r="K937" s="241">
        <v>19.3</v>
      </c>
      <c r="L937" s="242">
        <v>36.9</v>
      </c>
      <c r="M937" s="243">
        <v>59.6</v>
      </c>
      <c r="N937" s="241">
        <v>33.700000000000003</v>
      </c>
      <c r="O937" s="242">
        <v>64.8</v>
      </c>
      <c r="P937" s="243">
        <v>101.9</v>
      </c>
      <c r="Z937" s="244">
        <f t="shared" si="43"/>
        <v>94.099999999998346</v>
      </c>
      <c r="AA937" s="376">
        <f t="shared" si="44"/>
        <v>8.0046901349883822E-6</v>
      </c>
    </row>
    <row r="938" spans="1:27">
      <c r="A938" s="244">
        <f t="shared" si="42"/>
        <v>94.19999999999834</v>
      </c>
      <c r="B938" s="241">
        <v>11.2</v>
      </c>
      <c r="C938" s="242">
        <v>20.399999999999999</v>
      </c>
      <c r="D938" s="243">
        <v>32.799999999999997</v>
      </c>
      <c r="E938" s="241">
        <v>12.4</v>
      </c>
      <c r="F938" s="242">
        <v>23.1</v>
      </c>
      <c r="G938" s="243">
        <v>37.200000000000003</v>
      </c>
      <c r="H938" s="241">
        <v>14.6</v>
      </c>
      <c r="I938" s="242">
        <v>27.4</v>
      </c>
      <c r="J938" s="243">
        <v>44.3</v>
      </c>
      <c r="K938" s="241">
        <v>19.3</v>
      </c>
      <c r="L938" s="242">
        <v>37</v>
      </c>
      <c r="M938" s="243">
        <v>59.6</v>
      </c>
      <c r="N938" s="241">
        <v>33.700000000000003</v>
      </c>
      <c r="O938" s="242">
        <v>64.8</v>
      </c>
      <c r="P938" s="243">
        <v>102</v>
      </c>
      <c r="Z938" s="244">
        <f t="shared" si="43"/>
        <v>94.19999999999834</v>
      </c>
      <c r="AA938" s="376">
        <f t="shared" si="44"/>
        <v>7.9813435786471396E-6</v>
      </c>
    </row>
    <row r="939" spans="1:27">
      <c r="A939" s="244">
        <f t="shared" si="42"/>
        <v>94.299999999998334</v>
      </c>
      <c r="B939" s="241">
        <v>11.2</v>
      </c>
      <c r="C939" s="242">
        <v>20.399999999999999</v>
      </c>
      <c r="D939" s="243">
        <v>32.799999999999997</v>
      </c>
      <c r="E939" s="241">
        <v>12.4</v>
      </c>
      <c r="F939" s="242">
        <v>23.1</v>
      </c>
      <c r="G939" s="243">
        <v>37.200000000000003</v>
      </c>
      <c r="H939" s="241">
        <v>14.6</v>
      </c>
      <c r="I939" s="242">
        <v>27.4</v>
      </c>
      <c r="J939" s="243">
        <v>44.3</v>
      </c>
      <c r="K939" s="241">
        <v>19.3</v>
      </c>
      <c r="L939" s="242">
        <v>37</v>
      </c>
      <c r="M939" s="243">
        <v>59.7</v>
      </c>
      <c r="N939" s="241">
        <v>33.700000000000003</v>
      </c>
      <c r="O939" s="242">
        <v>64.900000000000006</v>
      </c>
      <c r="P939" s="243">
        <v>102.1</v>
      </c>
      <c r="Z939" s="244">
        <f t="shared" si="43"/>
        <v>94.299999999998334</v>
      </c>
      <c r="AA939" s="376">
        <f t="shared" si="44"/>
        <v>7.9580897777216701E-6</v>
      </c>
    </row>
    <row r="940" spans="1:27">
      <c r="A940" s="244">
        <f t="shared" si="42"/>
        <v>94.399999999998329</v>
      </c>
      <c r="B940" s="241">
        <v>11.1</v>
      </c>
      <c r="C940" s="242">
        <v>20.399999999999999</v>
      </c>
      <c r="D940" s="243">
        <v>32.9</v>
      </c>
      <c r="E940" s="241">
        <v>12.4</v>
      </c>
      <c r="F940" s="242">
        <v>23.1</v>
      </c>
      <c r="G940" s="243">
        <v>37.200000000000003</v>
      </c>
      <c r="H940" s="241">
        <v>14.6</v>
      </c>
      <c r="I940" s="242">
        <v>27.4</v>
      </c>
      <c r="J940" s="243">
        <v>44.4</v>
      </c>
      <c r="K940" s="241">
        <v>19.3</v>
      </c>
      <c r="L940" s="242">
        <v>37</v>
      </c>
      <c r="M940" s="243">
        <v>59.8</v>
      </c>
      <c r="N940" s="241">
        <v>33.6</v>
      </c>
      <c r="O940" s="242">
        <v>64.900000000000006</v>
      </c>
      <c r="P940" s="243">
        <v>102.2</v>
      </c>
      <c r="Z940" s="244">
        <f t="shared" si="43"/>
        <v>94.399999999998329</v>
      </c>
      <c r="AA940" s="376">
        <f t="shared" si="44"/>
        <v>7.9349282659198197E-6</v>
      </c>
    </row>
    <row r="941" spans="1:27">
      <c r="A941" s="244">
        <f t="shared" si="42"/>
        <v>94.499999999998323</v>
      </c>
      <c r="B941" s="241">
        <v>11.1</v>
      </c>
      <c r="C941" s="242">
        <v>20.5</v>
      </c>
      <c r="D941" s="243">
        <v>32.9</v>
      </c>
      <c r="E941" s="241">
        <v>12.4</v>
      </c>
      <c r="F941" s="242">
        <v>23.1</v>
      </c>
      <c r="G941" s="243">
        <v>37.299999999999997</v>
      </c>
      <c r="H941" s="241">
        <v>14.5</v>
      </c>
      <c r="I941" s="242">
        <v>27.5</v>
      </c>
      <c r="J941" s="243">
        <v>44.5</v>
      </c>
      <c r="K941" s="241">
        <v>19.3</v>
      </c>
      <c r="L941" s="242">
        <v>37</v>
      </c>
      <c r="M941" s="243">
        <v>59.8</v>
      </c>
      <c r="N941" s="241">
        <v>33.6</v>
      </c>
      <c r="O941" s="242">
        <v>65</v>
      </c>
      <c r="P941" s="243">
        <v>102.3</v>
      </c>
      <c r="Z941" s="244">
        <f t="shared" si="43"/>
        <v>94.499999999998323</v>
      </c>
      <c r="AA941" s="376">
        <f t="shared" si="44"/>
        <v>7.9118585797840198E-6</v>
      </c>
    </row>
    <row r="942" spans="1:27">
      <c r="A942" s="244">
        <f t="shared" si="42"/>
        <v>94.599999999998317</v>
      </c>
      <c r="B942" s="241">
        <v>11.1</v>
      </c>
      <c r="C942" s="242">
        <v>20.5</v>
      </c>
      <c r="D942" s="243">
        <v>33</v>
      </c>
      <c r="E942" s="241">
        <v>12.4</v>
      </c>
      <c r="F942" s="242">
        <v>23.1</v>
      </c>
      <c r="G942" s="243">
        <v>37.299999999999997</v>
      </c>
      <c r="H942" s="241">
        <v>14.5</v>
      </c>
      <c r="I942" s="242">
        <v>27.5</v>
      </c>
      <c r="J942" s="243">
        <v>44.5</v>
      </c>
      <c r="K942" s="241">
        <v>19.3</v>
      </c>
      <c r="L942" s="242">
        <v>37.1</v>
      </c>
      <c r="M942" s="243">
        <v>59.9</v>
      </c>
      <c r="N942" s="241">
        <v>33.6</v>
      </c>
      <c r="O942" s="242">
        <v>65</v>
      </c>
      <c r="P942" s="243">
        <v>102.4</v>
      </c>
      <c r="Z942" s="244">
        <f t="shared" si="43"/>
        <v>94.599999999998317</v>
      </c>
      <c r="AA942" s="376">
        <f t="shared" si="44"/>
        <v>7.8888802586710993E-6</v>
      </c>
    </row>
    <row r="943" spans="1:27">
      <c r="A943" s="244">
        <f t="shared" si="42"/>
        <v>94.699999999998312</v>
      </c>
      <c r="B943" s="241">
        <v>11.1</v>
      </c>
      <c r="C943" s="242">
        <v>20.5</v>
      </c>
      <c r="D943" s="243">
        <v>33</v>
      </c>
      <c r="E943" s="241">
        <v>12.4</v>
      </c>
      <c r="F943" s="242">
        <v>23.1</v>
      </c>
      <c r="G943" s="243">
        <v>37.4</v>
      </c>
      <c r="H943" s="241">
        <v>14.5</v>
      </c>
      <c r="I943" s="242">
        <v>27.5</v>
      </c>
      <c r="J943" s="243">
        <v>44.6</v>
      </c>
      <c r="K943" s="241">
        <v>19.3</v>
      </c>
      <c r="L943" s="242">
        <v>37.1</v>
      </c>
      <c r="M943" s="243">
        <v>60</v>
      </c>
      <c r="N943" s="241">
        <v>33.6</v>
      </c>
      <c r="O943" s="242">
        <v>65.099999999999994</v>
      </c>
      <c r="P943" s="243">
        <v>102.5</v>
      </c>
      <c r="Z943" s="244">
        <f t="shared" si="43"/>
        <v>94.699999999998312</v>
      </c>
      <c r="AA943" s="376">
        <f t="shared" si="44"/>
        <v>7.8659928447322333E-6</v>
      </c>
    </row>
    <row r="944" spans="1:27">
      <c r="A944" s="244">
        <f t="shared" si="42"/>
        <v>94.799999999998306</v>
      </c>
      <c r="B944" s="241">
        <v>11.1</v>
      </c>
      <c r="C944" s="242">
        <v>20.5</v>
      </c>
      <c r="D944" s="243">
        <v>33</v>
      </c>
      <c r="E944" s="241">
        <v>12.4</v>
      </c>
      <c r="F944" s="242">
        <v>23.1</v>
      </c>
      <c r="G944" s="243">
        <v>37.4</v>
      </c>
      <c r="H944" s="241">
        <v>14.5</v>
      </c>
      <c r="I944" s="242">
        <v>27.5</v>
      </c>
      <c r="J944" s="243">
        <v>44.6</v>
      </c>
      <c r="K944" s="241">
        <v>19.2</v>
      </c>
      <c r="L944" s="242">
        <v>37.1</v>
      </c>
      <c r="M944" s="243">
        <v>60</v>
      </c>
      <c r="N944" s="241">
        <v>33.5</v>
      </c>
      <c r="O944" s="242">
        <v>65.099999999999994</v>
      </c>
      <c r="P944" s="243">
        <v>102.6</v>
      </c>
      <c r="Z944" s="244">
        <f t="shared" si="43"/>
        <v>94.799999999998306</v>
      </c>
      <c r="AA944" s="376">
        <f t="shared" si="44"/>
        <v>7.8431958828930673E-6</v>
      </c>
    </row>
    <row r="945" spans="1:27">
      <c r="A945" s="244">
        <f t="shared" si="42"/>
        <v>94.8999999999983</v>
      </c>
      <c r="B945" s="241">
        <v>11.1</v>
      </c>
      <c r="C945" s="242">
        <v>20.5</v>
      </c>
      <c r="D945" s="243">
        <v>33.1</v>
      </c>
      <c r="E945" s="241">
        <v>12.4</v>
      </c>
      <c r="F945" s="242">
        <v>23.2</v>
      </c>
      <c r="G945" s="243">
        <v>37.5</v>
      </c>
      <c r="H945" s="241">
        <v>14.5</v>
      </c>
      <c r="I945" s="242">
        <v>27.5</v>
      </c>
      <c r="J945" s="243">
        <v>44.7</v>
      </c>
      <c r="K945" s="241">
        <v>19.2</v>
      </c>
      <c r="L945" s="242">
        <v>37.1</v>
      </c>
      <c r="M945" s="243">
        <v>60.1</v>
      </c>
      <c r="N945" s="241">
        <v>33.5</v>
      </c>
      <c r="O945" s="242">
        <v>65.099999999999994</v>
      </c>
      <c r="P945" s="243">
        <v>102.7</v>
      </c>
      <c r="Z945" s="244">
        <f t="shared" si="43"/>
        <v>94.8999999999983</v>
      </c>
      <c r="AA945" s="376">
        <f t="shared" si="44"/>
        <v>7.8204889208340144E-6</v>
      </c>
    </row>
    <row r="946" spans="1:27">
      <c r="A946" s="244">
        <f t="shared" si="42"/>
        <v>94.999999999998295</v>
      </c>
      <c r="B946" s="241">
        <v>11.1</v>
      </c>
      <c r="C946" s="242">
        <v>20.5</v>
      </c>
      <c r="D946" s="243">
        <v>33.1</v>
      </c>
      <c r="E946" s="241">
        <v>12.4</v>
      </c>
      <c r="F946" s="242">
        <v>23.2</v>
      </c>
      <c r="G946" s="243">
        <v>37.5</v>
      </c>
      <c r="H946" s="241">
        <v>14.5</v>
      </c>
      <c r="I946" s="242">
        <v>27.6</v>
      </c>
      <c r="J946" s="243">
        <v>44.7</v>
      </c>
      <c r="K946" s="241">
        <v>19.2</v>
      </c>
      <c r="L946" s="242">
        <v>37.200000000000003</v>
      </c>
      <c r="M946" s="243">
        <v>60.2</v>
      </c>
      <c r="N946" s="241">
        <v>33.5</v>
      </c>
      <c r="O946" s="242">
        <v>65.2</v>
      </c>
      <c r="P946" s="243">
        <v>102.8</v>
      </c>
      <c r="Z946" s="244">
        <f t="shared" si="43"/>
        <v>94.999999999998295</v>
      </c>
      <c r="AA946" s="376">
        <f t="shared" si="44"/>
        <v>7.7978715089706827E-6</v>
      </c>
    </row>
    <row r="947" spans="1:27">
      <c r="A947" s="244">
        <f t="shared" si="42"/>
        <v>95.099999999998289</v>
      </c>
      <c r="B947" s="241">
        <v>11.1</v>
      </c>
      <c r="C947" s="242">
        <v>20.5</v>
      </c>
      <c r="D947" s="243">
        <v>33.200000000000003</v>
      </c>
      <c r="E947" s="241">
        <v>12.4</v>
      </c>
      <c r="F947" s="242">
        <v>23.2</v>
      </c>
      <c r="G947" s="243">
        <v>37.6</v>
      </c>
      <c r="H947" s="241">
        <v>14.5</v>
      </c>
      <c r="I947" s="242">
        <v>27.6</v>
      </c>
      <c r="J947" s="243">
        <v>44.8</v>
      </c>
      <c r="K947" s="241">
        <v>19.2</v>
      </c>
      <c r="L947" s="242">
        <v>37.200000000000003</v>
      </c>
      <c r="M947" s="243">
        <v>60.3</v>
      </c>
      <c r="N947" s="241">
        <v>33.5</v>
      </c>
      <c r="O947" s="242">
        <v>65.2</v>
      </c>
      <c r="P947" s="243">
        <v>102.9</v>
      </c>
      <c r="Z947" s="244">
        <f t="shared" si="43"/>
        <v>95.099999999998289</v>
      </c>
      <c r="AA947" s="376">
        <f t="shared" si="44"/>
        <v>7.7753432004344863E-6</v>
      </c>
    </row>
    <row r="948" spans="1:27">
      <c r="A948" s="244">
        <f t="shared" si="42"/>
        <v>95.199999999998283</v>
      </c>
      <c r="B948" s="241">
        <v>11.1</v>
      </c>
      <c r="C948" s="242">
        <v>20.6</v>
      </c>
      <c r="D948" s="243">
        <v>33.200000000000003</v>
      </c>
      <c r="E948" s="241">
        <v>12.4</v>
      </c>
      <c r="F948" s="242">
        <v>23.2</v>
      </c>
      <c r="G948" s="243">
        <v>37.6</v>
      </c>
      <c r="H948" s="241">
        <v>14.5</v>
      </c>
      <c r="I948" s="242">
        <v>27.6</v>
      </c>
      <c r="J948" s="243">
        <v>44.8</v>
      </c>
      <c r="K948" s="241">
        <v>19.2</v>
      </c>
      <c r="L948" s="242">
        <v>37.200000000000003</v>
      </c>
      <c r="M948" s="243">
        <v>60.3</v>
      </c>
      <c r="N948" s="241">
        <v>33.5</v>
      </c>
      <c r="O948" s="242">
        <v>65.3</v>
      </c>
      <c r="P948" s="243">
        <v>103.1</v>
      </c>
      <c r="Z948" s="244">
        <f t="shared" si="43"/>
        <v>95.199999999998283</v>
      </c>
      <c r="AA948" s="376">
        <f t="shared" si="44"/>
        <v>7.7529035510534061E-6</v>
      </c>
    </row>
    <row r="949" spans="1:27">
      <c r="A949" s="244">
        <f t="shared" si="42"/>
        <v>95.299999999998278</v>
      </c>
      <c r="B949" s="241">
        <v>11.1</v>
      </c>
      <c r="C949" s="242">
        <v>20.6</v>
      </c>
      <c r="D949" s="243">
        <v>33.200000000000003</v>
      </c>
      <c r="E949" s="241">
        <v>12.4</v>
      </c>
      <c r="F949" s="242">
        <v>23.2</v>
      </c>
      <c r="G949" s="243">
        <v>37.700000000000003</v>
      </c>
      <c r="H949" s="241">
        <v>14.5</v>
      </c>
      <c r="I949" s="242">
        <v>27.6</v>
      </c>
      <c r="J949" s="243">
        <v>44.9</v>
      </c>
      <c r="K949" s="241">
        <v>19.2</v>
      </c>
      <c r="L949" s="242">
        <v>37.299999999999997</v>
      </c>
      <c r="M949" s="243">
        <v>60.4</v>
      </c>
      <c r="N949" s="241">
        <v>33.5</v>
      </c>
      <c r="O949" s="242">
        <v>65.3</v>
      </c>
      <c r="P949" s="243">
        <v>103.2</v>
      </c>
      <c r="Z949" s="244">
        <f t="shared" si="43"/>
        <v>95.299999999998278</v>
      </c>
      <c r="AA949" s="376">
        <f t="shared" si="44"/>
        <v>7.7305521193329075E-6</v>
      </c>
    </row>
    <row r="950" spans="1:27">
      <c r="A950" s="244">
        <f t="shared" si="42"/>
        <v>95.399999999998272</v>
      </c>
      <c r="B950" s="241">
        <v>11.1</v>
      </c>
      <c r="C950" s="242">
        <v>20.6</v>
      </c>
      <c r="D950" s="243">
        <v>33.299999999999997</v>
      </c>
      <c r="E950" s="241">
        <v>12.4</v>
      </c>
      <c r="F950" s="242">
        <v>23.2</v>
      </c>
      <c r="G950" s="243">
        <v>37.700000000000003</v>
      </c>
      <c r="H950" s="241">
        <v>14.5</v>
      </c>
      <c r="I950" s="242">
        <v>27.6</v>
      </c>
      <c r="J950" s="243">
        <v>44.9</v>
      </c>
      <c r="K950" s="241">
        <v>19.2</v>
      </c>
      <c r="L950" s="242">
        <v>37.299999999999997</v>
      </c>
      <c r="M950" s="243">
        <v>60.5</v>
      </c>
      <c r="N950" s="241">
        <v>33.4</v>
      </c>
      <c r="O950" s="242">
        <v>65.400000000000006</v>
      </c>
      <c r="P950" s="243">
        <v>103.3</v>
      </c>
      <c r="Z950" s="244">
        <f t="shared" si="43"/>
        <v>95.399999999998272</v>
      </c>
      <c r="AA950" s="376">
        <f t="shared" si="44"/>
        <v>7.7082884664370163E-6</v>
      </c>
    </row>
    <row r="951" spans="1:27">
      <c r="A951" s="244">
        <f t="shared" si="42"/>
        <v>95.499999999998266</v>
      </c>
      <c r="B951" s="241">
        <v>11.1</v>
      </c>
      <c r="C951" s="242">
        <v>20.6</v>
      </c>
      <c r="D951" s="243">
        <v>33.299999999999997</v>
      </c>
      <c r="E951" s="241">
        <v>12.4</v>
      </c>
      <c r="F951" s="242">
        <v>23.3</v>
      </c>
      <c r="G951" s="243">
        <v>37.700000000000003</v>
      </c>
      <c r="H951" s="241">
        <v>14.5</v>
      </c>
      <c r="I951" s="242">
        <v>27.7</v>
      </c>
      <c r="J951" s="243">
        <v>45</v>
      </c>
      <c r="K951" s="241">
        <v>19.2</v>
      </c>
      <c r="L951" s="242">
        <v>37.299999999999997</v>
      </c>
      <c r="M951" s="243">
        <v>60.6</v>
      </c>
      <c r="N951" s="241">
        <v>33.4</v>
      </c>
      <c r="O951" s="242">
        <v>65.400000000000006</v>
      </c>
      <c r="P951" s="243">
        <v>103.4</v>
      </c>
      <c r="Z951" s="244">
        <f t="shared" si="43"/>
        <v>95.499999999998266</v>
      </c>
      <c r="AA951" s="376">
        <f t="shared" si="44"/>
        <v>7.6861121561695468E-6</v>
      </c>
    </row>
    <row r="952" spans="1:27">
      <c r="A952" s="244">
        <f t="shared" si="42"/>
        <v>95.599999999998261</v>
      </c>
      <c r="B952" s="241">
        <v>11.1</v>
      </c>
      <c r="C952" s="242">
        <v>20.6</v>
      </c>
      <c r="D952" s="243">
        <v>33.4</v>
      </c>
      <c r="E952" s="241">
        <v>12.4</v>
      </c>
      <c r="F952" s="242">
        <v>23.3</v>
      </c>
      <c r="G952" s="243">
        <v>37.799999999999997</v>
      </c>
      <c r="H952" s="241">
        <v>14.5</v>
      </c>
      <c r="I952" s="242">
        <v>27.7</v>
      </c>
      <c r="J952" s="243">
        <v>45.1</v>
      </c>
      <c r="K952" s="241">
        <v>19.2</v>
      </c>
      <c r="L952" s="242">
        <v>37.299999999999997</v>
      </c>
      <c r="M952" s="243">
        <v>60.6</v>
      </c>
      <c r="N952" s="241">
        <v>33.4</v>
      </c>
      <c r="O952" s="242">
        <v>65.5</v>
      </c>
      <c r="P952" s="243">
        <v>103.5</v>
      </c>
      <c r="Z952" s="244">
        <f t="shared" si="43"/>
        <v>95.599999999998261</v>
      </c>
      <c r="AA952" s="376">
        <f t="shared" si="44"/>
        <v>7.664022754955465E-6</v>
      </c>
    </row>
    <row r="953" spans="1:27">
      <c r="A953" s="244">
        <f t="shared" si="42"/>
        <v>95.699999999998255</v>
      </c>
      <c r="B953" s="241">
        <v>11.1</v>
      </c>
      <c r="C953" s="242">
        <v>20.6</v>
      </c>
      <c r="D953" s="243">
        <v>33.4</v>
      </c>
      <c r="E953" s="241">
        <v>12.4</v>
      </c>
      <c r="F953" s="242">
        <v>23.3</v>
      </c>
      <c r="G953" s="243">
        <v>37.799999999999997</v>
      </c>
      <c r="H953" s="241">
        <v>14.5</v>
      </c>
      <c r="I953" s="242">
        <v>27.7</v>
      </c>
      <c r="J953" s="243">
        <v>45.1</v>
      </c>
      <c r="K953" s="241">
        <v>19.2</v>
      </c>
      <c r="L953" s="242">
        <v>37.4</v>
      </c>
      <c r="M953" s="243">
        <v>60.7</v>
      </c>
      <c r="N953" s="241">
        <v>33.4</v>
      </c>
      <c r="O953" s="242">
        <v>65.599999999999994</v>
      </c>
      <c r="P953" s="243">
        <v>103.6</v>
      </c>
      <c r="Z953" s="244">
        <f t="shared" si="43"/>
        <v>95.699999999998255</v>
      </c>
      <c r="AA953" s="376">
        <f t="shared" si="44"/>
        <v>7.6420198318224422E-6</v>
      </c>
    </row>
    <row r="954" spans="1:27">
      <c r="A954" s="244">
        <f t="shared" si="42"/>
        <v>95.799999999998249</v>
      </c>
      <c r="B954" s="241">
        <v>11.1</v>
      </c>
      <c r="C954" s="242">
        <v>20.7</v>
      </c>
      <c r="D954" s="243">
        <v>33.5</v>
      </c>
      <c r="E954" s="241">
        <v>12.4</v>
      </c>
      <c r="F954" s="242">
        <v>23.3</v>
      </c>
      <c r="G954" s="243">
        <v>37.9</v>
      </c>
      <c r="H954" s="241">
        <v>14.5</v>
      </c>
      <c r="I954" s="242">
        <v>27.7</v>
      </c>
      <c r="J954" s="243">
        <v>45.2</v>
      </c>
      <c r="K954" s="241">
        <v>19.2</v>
      </c>
      <c r="L954" s="242">
        <v>37.4</v>
      </c>
      <c r="M954" s="243">
        <v>60.8</v>
      </c>
      <c r="N954" s="241">
        <v>33.4</v>
      </c>
      <c r="O954" s="242">
        <v>65.599999999999994</v>
      </c>
      <c r="P954" s="243">
        <v>103.8</v>
      </c>
      <c r="Z954" s="244">
        <f t="shared" si="43"/>
        <v>95.799999999998249</v>
      </c>
      <c r="AA954" s="376">
        <f t="shared" si="44"/>
        <v>7.6201029583825091E-6</v>
      </c>
    </row>
    <row r="955" spans="1:27">
      <c r="A955" s="244">
        <f t="shared" si="42"/>
        <v>95.899999999998244</v>
      </c>
      <c r="B955" s="241">
        <v>11.1</v>
      </c>
      <c r="C955" s="242">
        <v>20.7</v>
      </c>
      <c r="D955" s="243">
        <v>33.5</v>
      </c>
      <c r="E955" s="241">
        <v>12.3</v>
      </c>
      <c r="F955" s="242">
        <v>23.3</v>
      </c>
      <c r="G955" s="243">
        <v>37.9</v>
      </c>
      <c r="H955" s="241">
        <v>14.5</v>
      </c>
      <c r="I955" s="242">
        <v>27.8</v>
      </c>
      <c r="J955" s="243">
        <v>45.2</v>
      </c>
      <c r="K955" s="241">
        <v>19.2</v>
      </c>
      <c r="L955" s="242">
        <v>37.4</v>
      </c>
      <c r="M955" s="243">
        <v>60.9</v>
      </c>
      <c r="N955" s="241">
        <v>33.4</v>
      </c>
      <c r="O955" s="242">
        <v>65.7</v>
      </c>
      <c r="P955" s="243">
        <v>103.9</v>
      </c>
      <c r="Z955" s="244">
        <f t="shared" si="43"/>
        <v>95.899999999998244</v>
      </c>
      <c r="AA955" s="376">
        <f t="shared" si="44"/>
        <v>7.598271708813903E-6</v>
      </c>
    </row>
    <row r="956" spans="1:27">
      <c r="A956" s="244">
        <f t="shared" si="42"/>
        <v>95.999999999998238</v>
      </c>
      <c r="B956" s="241">
        <v>11.1</v>
      </c>
      <c r="C956" s="242">
        <v>20.7</v>
      </c>
      <c r="D956" s="243">
        <v>33.5</v>
      </c>
      <c r="E956" s="241">
        <v>12.3</v>
      </c>
      <c r="F956" s="242">
        <v>23.4</v>
      </c>
      <c r="G956" s="243">
        <v>38</v>
      </c>
      <c r="H956" s="241">
        <v>14.5</v>
      </c>
      <c r="I956" s="242">
        <v>27.8</v>
      </c>
      <c r="J956" s="243">
        <v>45.3</v>
      </c>
      <c r="K956" s="241">
        <v>19.2</v>
      </c>
      <c r="L956" s="242">
        <v>37.5</v>
      </c>
      <c r="M956" s="243">
        <v>60.9</v>
      </c>
      <c r="N956" s="241">
        <v>33.4</v>
      </c>
      <c r="O956" s="242">
        <v>65.7</v>
      </c>
      <c r="P956" s="243">
        <v>104</v>
      </c>
      <c r="Z956" s="244">
        <f t="shared" si="43"/>
        <v>95.999999999998238</v>
      </c>
      <c r="AA956" s="376">
        <f t="shared" si="44"/>
        <v>7.5765256598430174E-6</v>
      </c>
    </row>
    <row r="957" spans="1:27">
      <c r="A957" s="244">
        <f t="shared" si="42"/>
        <v>96.099999999998232</v>
      </c>
      <c r="B957" s="241">
        <v>11.1</v>
      </c>
      <c r="C957" s="242">
        <v>20.7</v>
      </c>
      <c r="D957" s="243">
        <v>33.6</v>
      </c>
      <c r="E957" s="241">
        <v>12.3</v>
      </c>
      <c r="F957" s="242">
        <v>23.4</v>
      </c>
      <c r="G957" s="243">
        <v>38</v>
      </c>
      <c r="H957" s="241">
        <v>14.5</v>
      </c>
      <c r="I957" s="242">
        <v>27.8</v>
      </c>
      <c r="J957" s="243">
        <v>45.3</v>
      </c>
      <c r="K957" s="241">
        <v>19.2</v>
      </c>
      <c r="L957" s="242">
        <v>37.5</v>
      </c>
      <c r="M957" s="243">
        <v>61</v>
      </c>
      <c r="N957" s="241">
        <v>33.4</v>
      </c>
      <c r="O957" s="242">
        <v>65.8</v>
      </c>
      <c r="P957" s="243">
        <v>104.1</v>
      </c>
      <c r="Z957" s="244">
        <f t="shared" si="43"/>
        <v>96.099999999998232</v>
      </c>
      <c r="AA957" s="376">
        <f t="shared" si="44"/>
        <v>7.5548643907265511E-6</v>
      </c>
    </row>
    <row r="958" spans="1:27">
      <c r="A958" s="244">
        <f t="shared" si="42"/>
        <v>96.199999999998226</v>
      </c>
      <c r="B958" s="241">
        <v>11.1</v>
      </c>
      <c r="C958" s="242">
        <v>20.7</v>
      </c>
      <c r="D958" s="243">
        <v>33.6</v>
      </c>
      <c r="E958" s="241">
        <v>12.3</v>
      </c>
      <c r="F958" s="242">
        <v>23.4</v>
      </c>
      <c r="G958" s="243">
        <v>38.1</v>
      </c>
      <c r="H958" s="241">
        <v>14.5</v>
      </c>
      <c r="I958" s="242">
        <v>27.8</v>
      </c>
      <c r="J958" s="243">
        <v>45.4</v>
      </c>
      <c r="K958" s="241">
        <v>19.2</v>
      </c>
      <c r="L958" s="242">
        <v>37.5</v>
      </c>
      <c r="M958" s="243">
        <v>61.1</v>
      </c>
      <c r="N958" s="241">
        <v>33.4</v>
      </c>
      <c r="O958" s="242">
        <v>65.8</v>
      </c>
      <c r="P958" s="243">
        <v>104.2</v>
      </c>
      <c r="Z958" s="244">
        <f t="shared" si="43"/>
        <v>96.199999999998226</v>
      </c>
      <c r="AA958" s="376">
        <f t="shared" si="44"/>
        <v>7.5332874832337395E-6</v>
      </c>
    </row>
    <row r="959" spans="1:27">
      <c r="A959" s="244">
        <f t="shared" si="42"/>
        <v>96.299999999998221</v>
      </c>
      <c r="B959" s="241">
        <v>11.1</v>
      </c>
      <c r="C959" s="242">
        <v>20.8</v>
      </c>
      <c r="D959" s="243">
        <v>33.700000000000003</v>
      </c>
      <c r="E959" s="241">
        <v>12.3</v>
      </c>
      <c r="F959" s="242">
        <v>23.4</v>
      </c>
      <c r="G959" s="243">
        <v>38.1</v>
      </c>
      <c r="H959" s="241">
        <v>14.5</v>
      </c>
      <c r="I959" s="242">
        <v>27.9</v>
      </c>
      <c r="J959" s="243">
        <v>45.5</v>
      </c>
      <c r="K959" s="241">
        <v>19.100000000000001</v>
      </c>
      <c r="L959" s="242">
        <v>37.6</v>
      </c>
      <c r="M959" s="243">
        <v>61.2</v>
      </c>
      <c r="N959" s="241">
        <v>33.4</v>
      </c>
      <c r="O959" s="242">
        <v>65.900000000000006</v>
      </c>
      <c r="P959" s="243">
        <v>104.4</v>
      </c>
      <c r="Z959" s="244">
        <f t="shared" si="43"/>
        <v>96.299999999998221</v>
      </c>
      <c r="AA959" s="376">
        <f t="shared" si="44"/>
        <v>7.5117945216287777E-6</v>
      </c>
    </row>
    <row r="960" spans="1:27">
      <c r="A960" s="244">
        <f t="shared" si="42"/>
        <v>96.399999999998215</v>
      </c>
      <c r="B960" s="241">
        <v>11.1</v>
      </c>
      <c r="C960" s="242">
        <v>20.8</v>
      </c>
      <c r="D960" s="243">
        <v>33.700000000000003</v>
      </c>
      <c r="E960" s="241">
        <v>12.3</v>
      </c>
      <c r="F960" s="242">
        <v>23.5</v>
      </c>
      <c r="G960" s="243">
        <v>38.200000000000003</v>
      </c>
      <c r="H960" s="241">
        <v>14.5</v>
      </c>
      <c r="I960" s="242">
        <v>27.9</v>
      </c>
      <c r="J960" s="243">
        <v>45.5</v>
      </c>
      <c r="K960" s="241">
        <v>19.100000000000001</v>
      </c>
      <c r="L960" s="242">
        <v>37.6</v>
      </c>
      <c r="M960" s="243">
        <v>61.2</v>
      </c>
      <c r="N960" s="241">
        <v>33.4</v>
      </c>
      <c r="O960" s="242">
        <v>66</v>
      </c>
      <c r="P960" s="243">
        <v>104.5</v>
      </c>
      <c r="Z960" s="244">
        <f t="shared" si="43"/>
        <v>96.399999999998215</v>
      </c>
      <c r="AA960" s="376">
        <f t="shared" si="44"/>
        <v>7.4903850926533614E-6</v>
      </c>
    </row>
    <row r="961" spans="1:27">
      <c r="A961" s="244">
        <f t="shared" si="42"/>
        <v>96.499999999998209</v>
      </c>
      <c r="B961" s="241">
        <v>11.1</v>
      </c>
      <c r="C961" s="242">
        <v>20.8</v>
      </c>
      <c r="D961" s="243">
        <v>33.799999999999997</v>
      </c>
      <c r="E961" s="241">
        <v>12.3</v>
      </c>
      <c r="F961" s="242">
        <v>23.5</v>
      </c>
      <c r="G961" s="243">
        <v>38.200000000000003</v>
      </c>
      <c r="H961" s="241">
        <v>14.5</v>
      </c>
      <c r="I961" s="242">
        <v>27.9</v>
      </c>
      <c r="J961" s="243">
        <v>45.6</v>
      </c>
      <c r="K961" s="241">
        <v>19.100000000000001</v>
      </c>
      <c r="L961" s="242">
        <v>37.700000000000003</v>
      </c>
      <c r="M961" s="243">
        <v>61.3</v>
      </c>
      <c r="N961" s="241">
        <v>33.4</v>
      </c>
      <c r="O961" s="242">
        <v>66</v>
      </c>
      <c r="P961" s="243">
        <v>104.6</v>
      </c>
      <c r="Z961" s="244">
        <f t="shared" si="43"/>
        <v>96.499999999998209</v>
      </c>
      <c r="AA961" s="376">
        <f t="shared" si="44"/>
        <v>7.4690587855093701E-6</v>
      </c>
    </row>
    <row r="962" spans="1:27">
      <c r="A962" s="244">
        <f t="shared" si="42"/>
        <v>96.599999999998204</v>
      </c>
      <c r="B962" s="241">
        <v>11.1</v>
      </c>
      <c r="C962" s="242">
        <v>20.8</v>
      </c>
      <c r="D962" s="243">
        <v>33.799999999999997</v>
      </c>
      <c r="E962" s="241">
        <v>12.3</v>
      </c>
      <c r="F962" s="242">
        <v>23.5</v>
      </c>
      <c r="G962" s="243">
        <v>38.299999999999997</v>
      </c>
      <c r="H962" s="241">
        <v>14.5</v>
      </c>
      <c r="I962" s="242">
        <v>27.9</v>
      </c>
      <c r="J962" s="243">
        <v>45.6</v>
      </c>
      <c r="K962" s="241">
        <v>19.100000000000001</v>
      </c>
      <c r="L962" s="242">
        <v>37.700000000000003</v>
      </c>
      <c r="M962" s="243">
        <v>61.4</v>
      </c>
      <c r="N962" s="241">
        <v>33.4</v>
      </c>
      <c r="O962" s="242">
        <v>66.099999999999994</v>
      </c>
      <c r="P962" s="243">
        <v>104.7</v>
      </c>
      <c r="Z962" s="244">
        <f t="shared" si="43"/>
        <v>96.599999999998204</v>
      </c>
      <c r="AA962" s="376">
        <f t="shared" si="44"/>
        <v>7.4478151918416965E-6</v>
      </c>
    </row>
    <row r="963" spans="1:27">
      <c r="A963" s="244">
        <f t="shared" si="42"/>
        <v>96.699999999998198</v>
      </c>
      <c r="B963" s="241">
        <v>11.1</v>
      </c>
      <c r="C963" s="242">
        <v>20.8</v>
      </c>
      <c r="D963" s="243">
        <v>33.9</v>
      </c>
      <c r="E963" s="241">
        <v>12.3</v>
      </c>
      <c r="F963" s="242">
        <v>23.5</v>
      </c>
      <c r="G963" s="243">
        <v>38.299999999999997</v>
      </c>
      <c r="H963" s="241">
        <v>14.5</v>
      </c>
      <c r="I963" s="242">
        <v>28</v>
      </c>
      <c r="J963" s="243">
        <v>45.7</v>
      </c>
      <c r="K963" s="241">
        <v>19.100000000000001</v>
      </c>
      <c r="L963" s="242">
        <v>37.700000000000003</v>
      </c>
      <c r="M963" s="243">
        <v>61.5</v>
      </c>
      <c r="N963" s="241">
        <v>33.4</v>
      </c>
      <c r="O963" s="242">
        <v>66.2</v>
      </c>
      <c r="P963" s="243">
        <v>104.9</v>
      </c>
      <c r="Z963" s="244">
        <f t="shared" si="43"/>
        <v>96.699999999998198</v>
      </c>
      <c r="AA963" s="376">
        <f t="shared" si="44"/>
        <v>7.4266539057212083E-6</v>
      </c>
    </row>
    <row r="964" spans="1:27">
      <c r="A964" s="244">
        <f t="shared" si="42"/>
        <v>96.799999999998192</v>
      </c>
      <c r="B964" s="241">
        <v>11.1</v>
      </c>
      <c r="C964" s="242">
        <v>20.9</v>
      </c>
      <c r="D964" s="243">
        <v>33.9</v>
      </c>
      <c r="E964" s="241">
        <v>12.3</v>
      </c>
      <c r="F964" s="242">
        <v>23.5</v>
      </c>
      <c r="G964" s="243">
        <v>38.4</v>
      </c>
      <c r="H964" s="241">
        <v>14.5</v>
      </c>
      <c r="I964" s="242">
        <v>28</v>
      </c>
      <c r="J964" s="243">
        <v>45.8</v>
      </c>
      <c r="K964" s="241">
        <v>19.2</v>
      </c>
      <c r="L964" s="242">
        <v>37.799999999999997</v>
      </c>
      <c r="M964" s="243">
        <v>61.6</v>
      </c>
      <c r="N964" s="241">
        <v>33.4</v>
      </c>
      <c r="O964" s="242">
        <v>66.2</v>
      </c>
      <c r="P964" s="243">
        <v>105</v>
      </c>
      <c r="Z964" s="244">
        <f t="shared" si="43"/>
        <v>96.799999999998192</v>
      </c>
      <c r="AA964" s="376">
        <f t="shared" si="44"/>
        <v>7.4055745236278444E-6</v>
      </c>
    </row>
    <row r="965" spans="1:27">
      <c r="A965" s="244">
        <f t="shared" si="42"/>
        <v>96.899999999998187</v>
      </c>
      <c r="B965" s="241">
        <v>11.1</v>
      </c>
      <c r="C965" s="242">
        <v>20.9</v>
      </c>
      <c r="D965" s="243">
        <v>33.9</v>
      </c>
      <c r="E965" s="241">
        <v>12.3</v>
      </c>
      <c r="F965" s="242">
        <v>23.6</v>
      </c>
      <c r="G965" s="243">
        <v>38.5</v>
      </c>
      <c r="H965" s="241">
        <v>14.5</v>
      </c>
      <c r="I965" s="242">
        <v>28</v>
      </c>
      <c r="J965" s="243">
        <v>45.8</v>
      </c>
      <c r="K965" s="241">
        <v>19.2</v>
      </c>
      <c r="L965" s="242">
        <v>37.799999999999997</v>
      </c>
      <c r="M965" s="243">
        <v>61.7</v>
      </c>
      <c r="N965" s="241">
        <v>33.4</v>
      </c>
      <c r="O965" s="242">
        <v>66.3</v>
      </c>
      <c r="P965" s="243">
        <v>105.1</v>
      </c>
      <c r="Z965" s="244">
        <f t="shared" si="43"/>
        <v>96.899999999998187</v>
      </c>
      <c r="AA965" s="376">
        <f t="shared" si="44"/>
        <v>7.3845766444338502E-6</v>
      </c>
    </row>
    <row r="966" spans="1:27">
      <c r="A966" s="244">
        <f t="shared" si="42"/>
        <v>96.999999999998181</v>
      </c>
      <c r="B966" s="241">
        <v>11.1</v>
      </c>
      <c r="C966" s="242">
        <v>20.9</v>
      </c>
      <c r="D966" s="243">
        <v>34</v>
      </c>
      <c r="E966" s="241">
        <v>12.3</v>
      </c>
      <c r="F966" s="242">
        <v>23.6</v>
      </c>
      <c r="G966" s="243">
        <v>38.5</v>
      </c>
      <c r="H966" s="241">
        <v>14.5</v>
      </c>
      <c r="I966" s="242">
        <v>28.1</v>
      </c>
      <c r="J966" s="243">
        <v>45.9</v>
      </c>
      <c r="K966" s="241">
        <v>19.2</v>
      </c>
      <c r="L966" s="242">
        <v>37.9</v>
      </c>
      <c r="M966" s="243">
        <v>61.7</v>
      </c>
      <c r="N966" s="241">
        <v>33.4</v>
      </c>
      <c r="O966" s="242">
        <v>66.400000000000006</v>
      </c>
      <c r="P966" s="243">
        <v>105.3</v>
      </c>
      <c r="Z966" s="244">
        <f t="shared" si="43"/>
        <v>96.999999999998181</v>
      </c>
      <c r="AA966" s="376">
        <f t="shared" si="44"/>
        <v>7.3636598693871427E-6</v>
      </c>
    </row>
    <row r="967" spans="1:27">
      <c r="A967" s="244">
        <f t="shared" ref="A967:A1030" si="45">A966+0.1</f>
        <v>97.099999999998175</v>
      </c>
      <c r="B967" s="241">
        <v>11.1</v>
      </c>
      <c r="C967" s="242">
        <v>20.9</v>
      </c>
      <c r="D967" s="243">
        <v>34</v>
      </c>
      <c r="E967" s="241">
        <v>12.3</v>
      </c>
      <c r="F967" s="242">
        <v>23.6</v>
      </c>
      <c r="G967" s="243">
        <v>38.6</v>
      </c>
      <c r="H967" s="241">
        <v>14.5</v>
      </c>
      <c r="I967" s="242">
        <v>28.1</v>
      </c>
      <c r="J967" s="243">
        <v>46</v>
      </c>
      <c r="K967" s="241">
        <v>19.2</v>
      </c>
      <c r="L967" s="242">
        <v>37.9</v>
      </c>
      <c r="M967" s="243">
        <v>61.8</v>
      </c>
      <c r="N967" s="241">
        <v>33.4</v>
      </c>
      <c r="O967" s="242">
        <v>66.400000000000006</v>
      </c>
      <c r="P967" s="243">
        <v>105.4</v>
      </c>
      <c r="Z967" s="244">
        <f t="shared" ref="Z967:Z1030" si="46">Z966+0.1</f>
        <v>97.099999999998175</v>
      </c>
      <c r="AA967" s="376">
        <f t="shared" ref="AA967:AA1030" si="47">T_gal(Z967)</f>
        <v>7.3428238020948168E-6</v>
      </c>
    </row>
    <row r="968" spans="1:27">
      <c r="A968" s="244">
        <f t="shared" si="45"/>
        <v>97.19999999999817</v>
      </c>
      <c r="B968" s="241">
        <v>11.1</v>
      </c>
      <c r="C968" s="242">
        <v>20.9</v>
      </c>
      <c r="D968" s="243">
        <v>34.1</v>
      </c>
      <c r="E968" s="241">
        <v>12.4</v>
      </c>
      <c r="F968" s="242">
        <v>23.6</v>
      </c>
      <c r="G968" s="243">
        <v>38.6</v>
      </c>
      <c r="H968" s="241">
        <v>14.5</v>
      </c>
      <c r="I968" s="242">
        <v>28.1</v>
      </c>
      <c r="J968" s="243">
        <v>46</v>
      </c>
      <c r="K968" s="241">
        <v>19.2</v>
      </c>
      <c r="L968" s="242">
        <v>37.9</v>
      </c>
      <c r="M968" s="243">
        <v>61.9</v>
      </c>
      <c r="N968" s="241">
        <v>33.4</v>
      </c>
      <c r="O968" s="242">
        <v>66.5</v>
      </c>
      <c r="P968" s="243">
        <v>105.5</v>
      </c>
      <c r="Z968" s="244">
        <f t="shared" si="46"/>
        <v>97.19999999999817</v>
      </c>
      <c r="AA968" s="376">
        <f t="shared" si="47"/>
        <v>7.3220680485067738E-6</v>
      </c>
    </row>
    <row r="969" spans="1:27">
      <c r="A969" s="244">
        <f t="shared" si="45"/>
        <v>97.299999999998164</v>
      </c>
      <c r="B969" s="241">
        <v>11.1</v>
      </c>
      <c r="C969" s="242">
        <v>21</v>
      </c>
      <c r="D969" s="243">
        <v>34.1</v>
      </c>
      <c r="E969" s="241">
        <v>12.4</v>
      </c>
      <c r="F969" s="242">
        <v>23.7</v>
      </c>
      <c r="G969" s="243">
        <v>38.700000000000003</v>
      </c>
      <c r="H969" s="241">
        <v>14.5</v>
      </c>
      <c r="I969" s="242">
        <v>28.2</v>
      </c>
      <c r="J969" s="243">
        <v>46.1</v>
      </c>
      <c r="K969" s="241">
        <v>19.2</v>
      </c>
      <c r="L969" s="242">
        <v>38</v>
      </c>
      <c r="M969" s="243">
        <v>62</v>
      </c>
      <c r="N969" s="241">
        <v>33.4</v>
      </c>
      <c r="O969" s="242">
        <v>66.599999999999994</v>
      </c>
      <c r="P969" s="243">
        <v>105.7</v>
      </c>
      <c r="Z969" s="244">
        <f t="shared" si="46"/>
        <v>97.299999999998164</v>
      </c>
      <c r="AA969" s="376">
        <f t="shared" si="47"/>
        <v>7.3013922168994743E-6</v>
      </c>
    </row>
    <row r="970" spans="1:27">
      <c r="A970" s="244">
        <f t="shared" si="45"/>
        <v>97.399999999998158</v>
      </c>
      <c r="B970" s="241">
        <v>11.1</v>
      </c>
      <c r="C970" s="242">
        <v>21</v>
      </c>
      <c r="D970" s="243">
        <v>34.200000000000003</v>
      </c>
      <c r="E970" s="241">
        <v>12.4</v>
      </c>
      <c r="F970" s="242">
        <v>23.7</v>
      </c>
      <c r="G970" s="243">
        <v>38.700000000000003</v>
      </c>
      <c r="H970" s="241">
        <v>14.5</v>
      </c>
      <c r="I970" s="242">
        <v>28.2</v>
      </c>
      <c r="J970" s="243">
        <v>46.2</v>
      </c>
      <c r="K970" s="241">
        <v>19.2</v>
      </c>
      <c r="L970" s="242">
        <v>38</v>
      </c>
      <c r="M970" s="243">
        <v>62.1</v>
      </c>
      <c r="N970" s="241">
        <v>33.4</v>
      </c>
      <c r="O970" s="242">
        <v>66.7</v>
      </c>
      <c r="P970" s="243">
        <v>105.8</v>
      </c>
      <c r="Z970" s="244">
        <f t="shared" si="46"/>
        <v>97.399999999998158</v>
      </c>
      <c r="AA970" s="376">
        <f t="shared" si="47"/>
        <v>7.2807959178598377E-6</v>
      </c>
    </row>
    <row r="971" spans="1:27">
      <c r="A971" s="244">
        <f t="shared" si="45"/>
        <v>97.499999999998153</v>
      </c>
      <c r="B971" s="241">
        <v>11.1</v>
      </c>
      <c r="C971" s="242">
        <v>21</v>
      </c>
      <c r="D971" s="243">
        <v>34.200000000000003</v>
      </c>
      <c r="E971" s="241">
        <v>12.4</v>
      </c>
      <c r="F971" s="242">
        <v>23.7</v>
      </c>
      <c r="G971" s="243">
        <v>38.799999999999997</v>
      </c>
      <c r="H971" s="241">
        <v>14.5</v>
      </c>
      <c r="I971" s="242">
        <v>28.2</v>
      </c>
      <c r="J971" s="243">
        <v>46.2</v>
      </c>
      <c r="K971" s="241">
        <v>19.2</v>
      </c>
      <c r="L971" s="242">
        <v>38.1</v>
      </c>
      <c r="M971" s="243">
        <v>62.2</v>
      </c>
      <c r="N971" s="241">
        <v>33.4</v>
      </c>
      <c r="O971" s="242">
        <v>66.7</v>
      </c>
      <c r="P971" s="243">
        <v>105.9</v>
      </c>
      <c r="Z971" s="244">
        <f t="shared" si="46"/>
        <v>97.499999999998153</v>
      </c>
      <c r="AA971" s="376">
        <f t="shared" si="47"/>
        <v>7.2602787642692762E-6</v>
      </c>
    </row>
    <row r="972" spans="1:27">
      <c r="A972" s="244">
        <f t="shared" si="45"/>
        <v>97.599999999998147</v>
      </c>
      <c r="B972" s="241">
        <v>11.1</v>
      </c>
      <c r="C972" s="242">
        <v>21</v>
      </c>
      <c r="D972" s="243">
        <v>34.299999999999997</v>
      </c>
      <c r="E972" s="241">
        <v>12.4</v>
      </c>
      <c r="F972" s="242">
        <v>23.8</v>
      </c>
      <c r="G972" s="243">
        <v>38.799999999999997</v>
      </c>
      <c r="H972" s="241">
        <v>14.5</v>
      </c>
      <c r="I972" s="242">
        <v>28.3</v>
      </c>
      <c r="J972" s="243">
        <v>46.3</v>
      </c>
      <c r="K972" s="241">
        <v>19.2</v>
      </c>
      <c r="L972" s="242">
        <v>38.1</v>
      </c>
      <c r="M972" s="243">
        <v>62.3</v>
      </c>
      <c r="N972" s="241">
        <v>33.4</v>
      </c>
      <c r="O972" s="242">
        <v>66.8</v>
      </c>
      <c r="P972" s="243">
        <v>106.1</v>
      </c>
      <c r="Z972" s="244">
        <f t="shared" si="46"/>
        <v>97.599999999998147</v>
      </c>
      <c r="AA972" s="376">
        <f t="shared" si="47"/>
        <v>7.2398403712878037E-6</v>
      </c>
    </row>
    <row r="973" spans="1:27">
      <c r="A973" s="244">
        <f t="shared" si="45"/>
        <v>97.699999999998141</v>
      </c>
      <c r="B973" s="241">
        <v>11.1</v>
      </c>
      <c r="C973" s="242">
        <v>21.1</v>
      </c>
      <c r="D973" s="243">
        <v>34.299999999999997</v>
      </c>
      <c r="E973" s="241">
        <v>12.4</v>
      </c>
      <c r="F973" s="242">
        <v>23.8</v>
      </c>
      <c r="G973" s="243">
        <v>38.9</v>
      </c>
      <c r="H973" s="241">
        <v>14.5</v>
      </c>
      <c r="I973" s="242">
        <v>28.3</v>
      </c>
      <c r="J973" s="243">
        <v>46.4</v>
      </c>
      <c r="K973" s="241">
        <v>19.2</v>
      </c>
      <c r="L973" s="242">
        <v>38.200000000000003</v>
      </c>
      <c r="M973" s="243">
        <v>62.3</v>
      </c>
      <c r="N973" s="241">
        <v>33.5</v>
      </c>
      <c r="O973" s="242">
        <v>66.900000000000006</v>
      </c>
      <c r="P973" s="243">
        <v>106.2</v>
      </c>
      <c r="Z973" s="244">
        <f t="shared" si="46"/>
        <v>97.699999999998141</v>
      </c>
      <c r="AA973" s="376">
        <f t="shared" si="47"/>
        <v>7.2194803563383452E-6</v>
      </c>
    </row>
    <row r="974" spans="1:27">
      <c r="A974" s="244">
        <f t="shared" si="45"/>
        <v>97.799999999998136</v>
      </c>
      <c r="B974" s="241">
        <v>11.1</v>
      </c>
      <c r="C974" s="242">
        <v>21.1</v>
      </c>
      <c r="D974" s="243">
        <v>34.4</v>
      </c>
      <c r="E974" s="241">
        <v>12.4</v>
      </c>
      <c r="F974" s="242">
        <v>23.8</v>
      </c>
      <c r="G974" s="243">
        <v>38.9</v>
      </c>
      <c r="H974" s="241">
        <v>14.5</v>
      </c>
      <c r="I974" s="242">
        <v>28.3</v>
      </c>
      <c r="J974" s="243">
        <v>46.4</v>
      </c>
      <c r="K974" s="241">
        <v>19.2</v>
      </c>
      <c r="L974" s="242">
        <v>38.200000000000003</v>
      </c>
      <c r="M974" s="243">
        <v>62.4</v>
      </c>
      <c r="N974" s="241">
        <v>33.5</v>
      </c>
      <c r="O974" s="242">
        <v>67</v>
      </c>
      <c r="P974" s="243">
        <v>106.3</v>
      </c>
      <c r="Z974" s="244">
        <f t="shared" si="46"/>
        <v>97.799999999998136</v>
      </c>
      <c r="AA974" s="376">
        <f t="shared" si="47"/>
        <v>7.1991983390911014E-6</v>
      </c>
    </row>
    <row r="975" spans="1:27">
      <c r="A975" s="244">
        <f t="shared" si="45"/>
        <v>97.89999999999813</v>
      </c>
      <c r="B975" s="241">
        <v>11.1</v>
      </c>
      <c r="C975" s="242">
        <v>21.1</v>
      </c>
      <c r="D975" s="243">
        <v>34.4</v>
      </c>
      <c r="E975" s="241">
        <v>12.4</v>
      </c>
      <c r="F975" s="242">
        <v>23.8</v>
      </c>
      <c r="G975" s="243">
        <v>39</v>
      </c>
      <c r="H975" s="241">
        <v>14.5</v>
      </c>
      <c r="I975" s="242">
        <v>28.4</v>
      </c>
      <c r="J975" s="243">
        <v>46.5</v>
      </c>
      <c r="K975" s="241">
        <v>19.2</v>
      </c>
      <c r="L975" s="242">
        <v>38.200000000000003</v>
      </c>
      <c r="M975" s="243">
        <v>62.5</v>
      </c>
      <c r="N975" s="241">
        <v>33.5</v>
      </c>
      <c r="O975" s="242">
        <v>67</v>
      </c>
      <c r="P975" s="243">
        <v>106.5</v>
      </c>
      <c r="Z975" s="244">
        <f t="shared" si="46"/>
        <v>97.89999999999813</v>
      </c>
      <c r="AA975" s="376">
        <f t="shared" si="47"/>
        <v>7.1789939414480984E-6</v>
      </c>
    </row>
    <row r="976" spans="1:27">
      <c r="A976" s="244">
        <f t="shared" si="45"/>
        <v>97.999999999998124</v>
      </c>
      <c r="B976" s="241">
        <v>11.1</v>
      </c>
      <c r="C976" s="242">
        <v>21.1</v>
      </c>
      <c r="D976" s="243">
        <v>34.5</v>
      </c>
      <c r="E976" s="241">
        <v>12.4</v>
      </c>
      <c r="F976" s="242">
        <v>23.9</v>
      </c>
      <c r="G976" s="243">
        <v>39.1</v>
      </c>
      <c r="H976" s="241">
        <v>14.5</v>
      </c>
      <c r="I976" s="242">
        <v>28.4</v>
      </c>
      <c r="J976" s="243">
        <v>46.6</v>
      </c>
      <c r="K976" s="241">
        <v>19.2</v>
      </c>
      <c r="L976" s="242">
        <v>38.299999999999997</v>
      </c>
      <c r="M976" s="243">
        <v>62.6</v>
      </c>
      <c r="N976" s="241">
        <v>33.5</v>
      </c>
      <c r="O976" s="242">
        <v>67.099999999999994</v>
      </c>
      <c r="P976" s="243">
        <v>106.6</v>
      </c>
      <c r="Z976" s="244">
        <f t="shared" si="46"/>
        <v>97.999999999998124</v>
      </c>
      <c r="AA976" s="376">
        <f t="shared" si="47"/>
        <v>7.1588667875277922E-6</v>
      </c>
    </row>
    <row r="977" spans="1:27">
      <c r="A977" s="244">
        <f t="shared" si="45"/>
        <v>98.099999999998118</v>
      </c>
      <c r="B977" s="241">
        <v>11.1</v>
      </c>
      <c r="C977" s="242">
        <v>21.2</v>
      </c>
      <c r="D977" s="243">
        <v>34.5</v>
      </c>
      <c r="E977" s="241">
        <v>12.4</v>
      </c>
      <c r="F977" s="242">
        <v>23.9</v>
      </c>
      <c r="G977" s="243">
        <v>39.1</v>
      </c>
      <c r="H977" s="241">
        <v>14.5</v>
      </c>
      <c r="I977" s="242">
        <v>28.4</v>
      </c>
      <c r="J977" s="243">
        <v>46.6</v>
      </c>
      <c r="K977" s="241">
        <v>19.2</v>
      </c>
      <c r="L977" s="242">
        <v>38.299999999999997</v>
      </c>
      <c r="M977" s="243">
        <v>62.7</v>
      </c>
      <c r="N977" s="241">
        <v>33.5</v>
      </c>
      <c r="O977" s="242">
        <v>67.2</v>
      </c>
      <c r="P977" s="243">
        <v>106.7</v>
      </c>
      <c r="Z977" s="244">
        <f t="shared" si="46"/>
        <v>98.099999999998118</v>
      </c>
      <c r="AA977" s="376">
        <f t="shared" si="47"/>
        <v>7.1388165036498712E-6</v>
      </c>
    </row>
    <row r="978" spans="1:27">
      <c r="A978" s="244">
        <f t="shared" si="45"/>
        <v>98.199999999998113</v>
      </c>
      <c r="B978" s="241">
        <v>11.1</v>
      </c>
      <c r="C978" s="242">
        <v>21.2</v>
      </c>
      <c r="D978" s="243">
        <v>34.6</v>
      </c>
      <c r="E978" s="241">
        <v>12.4</v>
      </c>
      <c r="F978" s="242">
        <v>23.9</v>
      </c>
      <c r="G978" s="243">
        <v>39.200000000000003</v>
      </c>
      <c r="H978" s="241">
        <v>14.5</v>
      </c>
      <c r="I978" s="242">
        <v>28.5</v>
      </c>
      <c r="J978" s="243">
        <v>46.7</v>
      </c>
      <c r="K978" s="241">
        <v>19.2</v>
      </c>
      <c r="L978" s="242">
        <v>38.4</v>
      </c>
      <c r="M978" s="243">
        <v>62.8</v>
      </c>
      <c r="N978" s="241">
        <v>33.6</v>
      </c>
      <c r="O978" s="242">
        <v>67.3</v>
      </c>
      <c r="P978" s="243">
        <v>106.9</v>
      </c>
      <c r="Z978" s="244">
        <f t="shared" si="46"/>
        <v>98.199999999998113</v>
      </c>
      <c r="AA978" s="376">
        <f t="shared" si="47"/>
        <v>7.1188427183201154E-6</v>
      </c>
    </row>
    <row r="979" spans="1:27">
      <c r="A979" s="244">
        <f t="shared" si="45"/>
        <v>98.299999999998107</v>
      </c>
      <c r="B979" s="241">
        <v>11.1</v>
      </c>
      <c r="C979" s="242">
        <v>21.2</v>
      </c>
      <c r="D979" s="243">
        <v>34.6</v>
      </c>
      <c r="E979" s="241">
        <v>12.4</v>
      </c>
      <c r="F979" s="242">
        <v>24</v>
      </c>
      <c r="G979" s="243">
        <v>39.200000000000003</v>
      </c>
      <c r="H979" s="241">
        <v>14.5</v>
      </c>
      <c r="I979" s="242">
        <v>28.5</v>
      </c>
      <c r="J979" s="243">
        <v>46.8</v>
      </c>
      <c r="K979" s="241">
        <v>19.3</v>
      </c>
      <c r="L979" s="242">
        <v>38.4</v>
      </c>
      <c r="M979" s="243">
        <v>62.9</v>
      </c>
      <c r="N979" s="241">
        <v>33.6</v>
      </c>
      <c r="O979" s="242">
        <v>67.400000000000006</v>
      </c>
      <c r="P979" s="243">
        <v>107</v>
      </c>
      <c r="Z979" s="244">
        <f t="shared" si="46"/>
        <v>98.299999999998107</v>
      </c>
      <c r="AA979" s="376">
        <f t="shared" si="47"/>
        <v>7.0989450622153964E-6</v>
      </c>
    </row>
    <row r="980" spans="1:27">
      <c r="A980" s="244">
        <f t="shared" si="45"/>
        <v>98.399999999998101</v>
      </c>
      <c r="B980" s="241">
        <v>11.1</v>
      </c>
      <c r="C980" s="242">
        <v>21.2</v>
      </c>
      <c r="D980" s="243">
        <v>34.700000000000003</v>
      </c>
      <c r="E980" s="241">
        <v>12.4</v>
      </c>
      <c r="F980" s="242">
        <v>24</v>
      </c>
      <c r="G980" s="243">
        <v>39.299999999999997</v>
      </c>
      <c r="H980" s="241">
        <v>14.5</v>
      </c>
      <c r="I980" s="242">
        <v>28.5</v>
      </c>
      <c r="J980" s="243">
        <v>46.8</v>
      </c>
      <c r="K980" s="241">
        <v>19.3</v>
      </c>
      <c r="L980" s="242">
        <v>38.5</v>
      </c>
      <c r="M980" s="243">
        <v>63</v>
      </c>
      <c r="N980" s="241">
        <v>33.6</v>
      </c>
      <c r="O980" s="242">
        <v>67.5</v>
      </c>
      <c r="P980" s="243">
        <v>107.2</v>
      </c>
      <c r="Z980" s="244">
        <f t="shared" si="46"/>
        <v>98.399999999998101</v>
      </c>
      <c r="AA980" s="376">
        <f t="shared" si="47"/>
        <v>7.0791231681688102E-6</v>
      </c>
    </row>
    <row r="981" spans="1:27">
      <c r="A981" s="244">
        <f t="shared" si="45"/>
        <v>98.499999999998096</v>
      </c>
      <c r="B981" s="241">
        <v>11.1</v>
      </c>
      <c r="C981" s="242">
        <v>21.3</v>
      </c>
      <c r="D981" s="243">
        <v>34.700000000000003</v>
      </c>
      <c r="E981" s="241">
        <v>12.4</v>
      </c>
      <c r="F981" s="242">
        <v>24</v>
      </c>
      <c r="G981" s="243">
        <v>39.4</v>
      </c>
      <c r="H981" s="241">
        <v>14.6</v>
      </c>
      <c r="I981" s="242">
        <v>28.6</v>
      </c>
      <c r="J981" s="243">
        <v>46.9</v>
      </c>
      <c r="K981" s="241">
        <v>19.3</v>
      </c>
      <c r="L981" s="242">
        <v>38.5</v>
      </c>
      <c r="M981" s="243">
        <v>63.1</v>
      </c>
      <c r="N981" s="241">
        <v>33.6</v>
      </c>
      <c r="O981" s="242">
        <v>67.5</v>
      </c>
      <c r="P981" s="243">
        <v>107.3</v>
      </c>
      <c r="Z981" s="244">
        <f t="shared" si="46"/>
        <v>98.499999999998096</v>
      </c>
      <c r="AA981" s="376">
        <f t="shared" si="47"/>
        <v>7.0593766711549082E-6</v>
      </c>
    </row>
    <row r="982" spans="1:27">
      <c r="A982" s="244">
        <f t="shared" si="45"/>
        <v>98.59999999999809</v>
      </c>
      <c r="B982" s="241">
        <v>11.2</v>
      </c>
      <c r="C982" s="242">
        <v>21.3</v>
      </c>
      <c r="D982" s="243">
        <v>34.799999999999997</v>
      </c>
      <c r="E982" s="241">
        <v>12.4</v>
      </c>
      <c r="F982" s="242">
        <v>24.1</v>
      </c>
      <c r="G982" s="243">
        <v>39.4</v>
      </c>
      <c r="H982" s="241">
        <v>14.6</v>
      </c>
      <c r="I982" s="242">
        <v>28.6</v>
      </c>
      <c r="J982" s="243">
        <v>47</v>
      </c>
      <c r="K982" s="241">
        <v>19.3</v>
      </c>
      <c r="L982" s="242">
        <v>38.6</v>
      </c>
      <c r="M982" s="243">
        <v>63.2</v>
      </c>
      <c r="N982" s="241">
        <v>33.700000000000003</v>
      </c>
      <c r="O982" s="242">
        <v>67.599999999999994</v>
      </c>
      <c r="P982" s="243">
        <v>107.5</v>
      </c>
      <c r="Z982" s="244">
        <f t="shared" si="46"/>
        <v>98.59999999999809</v>
      </c>
      <c r="AA982" s="376">
        <f t="shared" si="47"/>
        <v>7.0397052082750477E-6</v>
      </c>
    </row>
    <row r="983" spans="1:27">
      <c r="A983" s="244">
        <f t="shared" si="45"/>
        <v>98.699999999998084</v>
      </c>
      <c r="B983" s="241">
        <v>11.2</v>
      </c>
      <c r="C983" s="242">
        <v>21.3</v>
      </c>
      <c r="D983" s="243">
        <v>34.9</v>
      </c>
      <c r="E983" s="241">
        <v>12.4</v>
      </c>
      <c r="F983" s="242">
        <v>24.1</v>
      </c>
      <c r="G983" s="243">
        <v>39.5</v>
      </c>
      <c r="H983" s="241">
        <v>14.6</v>
      </c>
      <c r="I983" s="242">
        <v>28.6</v>
      </c>
      <c r="J983" s="243">
        <v>47</v>
      </c>
      <c r="K983" s="241">
        <v>19.3</v>
      </c>
      <c r="L983" s="242">
        <v>38.6</v>
      </c>
      <c r="M983" s="243">
        <v>63.3</v>
      </c>
      <c r="N983" s="241">
        <v>33.700000000000003</v>
      </c>
      <c r="O983" s="242">
        <v>67.7</v>
      </c>
      <c r="P983" s="243">
        <v>107.6</v>
      </c>
      <c r="Z983" s="244">
        <f t="shared" si="46"/>
        <v>98.699999999998084</v>
      </c>
      <c r="AA983" s="376">
        <f t="shared" si="47"/>
        <v>7.020108418742868E-6</v>
      </c>
    </row>
    <row r="984" spans="1:27">
      <c r="A984" s="244">
        <f t="shared" si="45"/>
        <v>98.799999999998079</v>
      </c>
      <c r="B984" s="241">
        <v>11.2</v>
      </c>
      <c r="C984" s="242">
        <v>21.3</v>
      </c>
      <c r="D984" s="243">
        <v>34.9</v>
      </c>
      <c r="E984" s="241">
        <v>12.5</v>
      </c>
      <c r="F984" s="242">
        <v>24.1</v>
      </c>
      <c r="G984" s="243">
        <v>39.5</v>
      </c>
      <c r="H984" s="241">
        <v>14.6</v>
      </c>
      <c r="I984" s="242">
        <v>28.7</v>
      </c>
      <c r="J984" s="243">
        <v>47.1</v>
      </c>
      <c r="K984" s="241">
        <v>19.3</v>
      </c>
      <c r="L984" s="242">
        <v>38.700000000000003</v>
      </c>
      <c r="M984" s="243">
        <v>63.4</v>
      </c>
      <c r="N984" s="241">
        <v>33.700000000000003</v>
      </c>
      <c r="O984" s="242">
        <v>67.8</v>
      </c>
      <c r="P984" s="243">
        <v>107.8</v>
      </c>
      <c r="Z984" s="244">
        <f t="shared" si="46"/>
        <v>98.799999999998079</v>
      </c>
      <c r="AA984" s="376">
        <f t="shared" si="47"/>
        <v>7.000585943869857E-6</v>
      </c>
    </row>
    <row r="985" spans="1:27">
      <c r="A985" s="244">
        <f t="shared" si="45"/>
        <v>98.899999999998073</v>
      </c>
      <c r="B985" s="241">
        <v>11.2</v>
      </c>
      <c r="C985" s="242">
        <v>21.4</v>
      </c>
      <c r="D985" s="243">
        <v>35</v>
      </c>
      <c r="E985" s="241">
        <v>12.5</v>
      </c>
      <c r="F985" s="242">
        <v>24.1</v>
      </c>
      <c r="G985" s="243">
        <v>39.6</v>
      </c>
      <c r="H985" s="241">
        <v>14.6</v>
      </c>
      <c r="I985" s="242">
        <v>28.7</v>
      </c>
      <c r="J985" s="243">
        <v>47.2</v>
      </c>
      <c r="K985" s="241">
        <v>19.3</v>
      </c>
      <c r="L985" s="242">
        <v>38.799999999999997</v>
      </c>
      <c r="M985" s="243">
        <v>63.5</v>
      </c>
      <c r="N985" s="241">
        <v>33.700000000000003</v>
      </c>
      <c r="O985" s="242">
        <v>67.900000000000006</v>
      </c>
      <c r="P985" s="243">
        <v>107.9</v>
      </c>
      <c r="Z985" s="244">
        <f t="shared" si="46"/>
        <v>98.899999999998073</v>
      </c>
      <c r="AA985" s="376">
        <f t="shared" si="47"/>
        <v>6.9811374270510713E-6</v>
      </c>
    </row>
    <row r="986" spans="1:27">
      <c r="A986" s="244">
        <f t="shared" si="45"/>
        <v>98.999999999998067</v>
      </c>
      <c r="B986" s="241">
        <v>11.2</v>
      </c>
      <c r="C986" s="242">
        <v>21.4</v>
      </c>
      <c r="D986" s="243">
        <v>35</v>
      </c>
      <c r="E986" s="241">
        <v>12.5</v>
      </c>
      <c r="F986" s="242">
        <v>24.2</v>
      </c>
      <c r="G986" s="243">
        <v>39.700000000000003</v>
      </c>
      <c r="H986" s="241">
        <v>14.6</v>
      </c>
      <c r="I986" s="242">
        <v>28.8</v>
      </c>
      <c r="J986" s="243">
        <v>47.3</v>
      </c>
      <c r="K986" s="241">
        <v>19.399999999999999</v>
      </c>
      <c r="L986" s="242">
        <v>38.799999999999997</v>
      </c>
      <c r="M986" s="243">
        <v>63.6</v>
      </c>
      <c r="N986" s="241">
        <v>33.799999999999997</v>
      </c>
      <c r="O986" s="242">
        <v>68</v>
      </c>
      <c r="P986" s="243">
        <v>108</v>
      </c>
      <c r="Z986" s="244">
        <f t="shared" si="46"/>
        <v>98.999999999998067</v>
      </c>
      <c r="AA986" s="376">
        <f t="shared" si="47"/>
        <v>6.9617625137509073E-6</v>
      </c>
    </row>
    <row r="987" spans="1:27">
      <c r="A987" s="244">
        <f t="shared" si="45"/>
        <v>99.099999999998062</v>
      </c>
      <c r="B987" s="241">
        <v>11.2</v>
      </c>
      <c r="C987" s="242">
        <v>21.4</v>
      </c>
      <c r="D987" s="243">
        <v>35.1</v>
      </c>
      <c r="E987" s="241">
        <v>12.5</v>
      </c>
      <c r="F987" s="242">
        <v>24.2</v>
      </c>
      <c r="G987" s="243">
        <v>39.700000000000003</v>
      </c>
      <c r="H987" s="241">
        <v>14.6</v>
      </c>
      <c r="I987" s="242">
        <v>28.8</v>
      </c>
      <c r="J987" s="243">
        <v>47.3</v>
      </c>
      <c r="K987" s="241">
        <v>19.399999999999999</v>
      </c>
      <c r="L987" s="242">
        <v>38.9</v>
      </c>
      <c r="M987" s="243">
        <v>63.6</v>
      </c>
      <c r="N987" s="241">
        <v>33.799999999999997</v>
      </c>
      <c r="O987" s="242">
        <v>68.099999999999994</v>
      </c>
      <c r="P987" s="243">
        <v>108.2</v>
      </c>
      <c r="Z987" s="244">
        <f t="shared" si="46"/>
        <v>99.099999999998062</v>
      </c>
      <c r="AA987" s="376">
        <f t="shared" si="47"/>
        <v>6.9424608514890484E-6</v>
      </c>
    </row>
    <row r="988" spans="1:27">
      <c r="A988" s="244">
        <f t="shared" si="45"/>
        <v>99.199999999998056</v>
      </c>
      <c r="B988" s="241">
        <v>11.2</v>
      </c>
      <c r="C988" s="242">
        <v>21.5</v>
      </c>
      <c r="D988" s="243">
        <v>35.1</v>
      </c>
      <c r="E988" s="241">
        <v>12.5</v>
      </c>
      <c r="F988" s="242">
        <v>24.3</v>
      </c>
      <c r="G988" s="243">
        <v>39.799999999999997</v>
      </c>
      <c r="H988" s="241">
        <v>14.6</v>
      </c>
      <c r="I988" s="242">
        <v>28.9</v>
      </c>
      <c r="J988" s="243">
        <v>47.4</v>
      </c>
      <c r="K988" s="241">
        <v>19.399999999999999</v>
      </c>
      <c r="L988" s="242">
        <v>38.9</v>
      </c>
      <c r="M988" s="243">
        <v>63.7</v>
      </c>
      <c r="N988" s="241">
        <v>33.799999999999997</v>
      </c>
      <c r="O988" s="242">
        <v>68.2</v>
      </c>
      <c r="P988" s="243">
        <v>108.3</v>
      </c>
      <c r="Z988" s="244">
        <f t="shared" si="46"/>
        <v>99.199999999998056</v>
      </c>
      <c r="AA988" s="376">
        <f t="shared" si="47"/>
        <v>6.923232089826488E-6</v>
      </c>
    </row>
    <row r="989" spans="1:27">
      <c r="A989" s="244">
        <f t="shared" si="45"/>
        <v>99.29999999999805</v>
      </c>
      <c r="B989" s="241">
        <v>11.2</v>
      </c>
      <c r="C989" s="242">
        <v>21.5</v>
      </c>
      <c r="D989" s="243">
        <v>35.200000000000003</v>
      </c>
      <c r="E989" s="241">
        <v>12.5</v>
      </c>
      <c r="F989" s="242">
        <v>24.3</v>
      </c>
      <c r="G989" s="243">
        <v>39.9</v>
      </c>
      <c r="H989" s="241">
        <v>14.7</v>
      </c>
      <c r="I989" s="242">
        <v>28.9</v>
      </c>
      <c r="J989" s="243">
        <v>47.5</v>
      </c>
      <c r="K989" s="241">
        <v>19.399999999999999</v>
      </c>
      <c r="L989" s="242">
        <v>39</v>
      </c>
      <c r="M989" s="243">
        <v>63.8</v>
      </c>
      <c r="N989" s="241">
        <v>33.9</v>
      </c>
      <c r="O989" s="242">
        <v>68.3</v>
      </c>
      <c r="P989" s="243">
        <v>108.5</v>
      </c>
      <c r="Z989" s="244">
        <f t="shared" si="46"/>
        <v>99.29999999999805</v>
      </c>
      <c r="AA989" s="376">
        <f t="shared" si="47"/>
        <v>6.9040758803516502E-6</v>
      </c>
    </row>
    <row r="990" spans="1:27">
      <c r="A990" s="244">
        <f t="shared" si="45"/>
        <v>99.399999999998045</v>
      </c>
      <c r="B990" s="241">
        <v>11.2</v>
      </c>
      <c r="C990" s="242">
        <v>21.5</v>
      </c>
      <c r="D990" s="243">
        <v>35.200000000000003</v>
      </c>
      <c r="E990" s="241">
        <v>12.5</v>
      </c>
      <c r="F990" s="242">
        <v>24.3</v>
      </c>
      <c r="G990" s="243">
        <v>39.9</v>
      </c>
      <c r="H990" s="241">
        <v>14.7</v>
      </c>
      <c r="I990" s="242">
        <v>28.9</v>
      </c>
      <c r="J990" s="243">
        <v>47.6</v>
      </c>
      <c r="K990" s="241">
        <v>19.399999999999999</v>
      </c>
      <c r="L990" s="242">
        <v>39</v>
      </c>
      <c r="M990" s="243">
        <v>63.9</v>
      </c>
      <c r="N990" s="241">
        <v>33.9</v>
      </c>
      <c r="O990" s="242">
        <v>68.400000000000006</v>
      </c>
      <c r="P990" s="243">
        <v>108.7</v>
      </c>
      <c r="Z990" s="244">
        <f t="shared" si="46"/>
        <v>99.399999999998045</v>
      </c>
      <c r="AA990" s="376">
        <f t="shared" si="47"/>
        <v>6.8849918766666428E-6</v>
      </c>
    </row>
    <row r="991" spans="1:27">
      <c r="A991" s="244">
        <f t="shared" si="45"/>
        <v>99.499999999998039</v>
      </c>
      <c r="B991" s="241">
        <v>11.2</v>
      </c>
      <c r="C991" s="242">
        <v>21.6</v>
      </c>
      <c r="D991" s="243">
        <v>35.299999999999997</v>
      </c>
      <c r="E991" s="241">
        <v>12.5</v>
      </c>
      <c r="F991" s="242">
        <v>24.4</v>
      </c>
      <c r="G991" s="243">
        <v>40</v>
      </c>
      <c r="H991" s="241">
        <v>14.7</v>
      </c>
      <c r="I991" s="242">
        <v>29</v>
      </c>
      <c r="J991" s="243">
        <v>47.6</v>
      </c>
      <c r="K991" s="241">
        <v>19.5</v>
      </c>
      <c r="L991" s="242">
        <v>39.1</v>
      </c>
      <c r="M991" s="243">
        <v>64</v>
      </c>
      <c r="N991" s="241">
        <v>34</v>
      </c>
      <c r="O991" s="242">
        <v>68.5</v>
      </c>
      <c r="P991" s="243">
        <v>108.8</v>
      </c>
      <c r="Z991" s="244">
        <f t="shared" si="46"/>
        <v>99.499999999998039</v>
      </c>
      <c r="AA991" s="376">
        <f t="shared" si="47"/>
        <v>6.8659797343736173E-6</v>
      </c>
    </row>
    <row r="992" spans="1:27">
      <c r="A992" s="244">
        <f t="shared" si="45"/>
        <v>99.599999999998033</v>
      </c>
      <c r="B992" s="241">
        <v>11.2</v>
      </c>
      <c r="C992" s="242">
        <v>21.6</v>
      </c>
      <c r="D992" s="243">
        <v>35.4</v>
      </c>
      <c r="E992" s="241">
        <v>12.5</v>
      </c>
      <c r="F992" s="242">
        <v>24.4</v>
      </c>
      <c r="G992" s="243">
        <v>40</v>
      </c>
      <c r="H992" s="241">
        <v>14.7</v>
      </c>
      <c r="I992" s="242">
        <v>29</v>
      </c>
      <c r="J992" s="243">
        <v>47.7</v>
      </c>
      <c r="K992" s="241">
        <v>19.5</v>
      </c>
      <c r="L992" s="242">
        <v>39.200000000000003</v>
      </c>
      <c r="M992" s="243">
        <v>64.099999999999994</v>
      </c>
      <c r="N992" s="241">
        <v>34</v>
      </c>
      <c r="O992" s="242">
        <v>68.599999999999994</v>
      </c>
      <c r="P992" s="243">
        <v>109</v>
      </c>
      <c r="Z992" s="244">
        <f t="shared" si="46"/>
        <v>99.599999999998033</v>
      </c>
      <c r="AA992" s="376">
        <f t="shared" si="47"/>
        <v>6.8470391110612142E-6</v>
      </c>
    </row>
    <row r="993" spans="1:27">
      <c r="A993" s="244">
        <f t="shared" si="45"/>
        <v>99.699999999998028</v>
      </c>
      <c r="B993" s="241">
        <v>11.3</v>
      </c>
      <c r="C993" s="242">
        <v>21.6</v>
      </c>
      <c r="D993" s="243">
        <v>35.4</v>
      </c>
      <c r="E993" s="241">
        <v>12.6</v>
      </c>
      <c r="F993" s="242">
        <v>24.4</v>
      </c>
      <c r="G993" s="243">
        <v>40.1</v>
      </c>
      <c r="H993" s="241">
        <v>14.7</v>
      </c>
      <c r="I993" s="242">
        <v>29.1</v>
      </c>
      <c r="J993" s="243">
        <v>47.8</v>
      </c>
      <c r="K993" s="241">
        <v>19.5</v>
      </c>
      <c r="L993" s="242">
        <v>39.200000000000003</v>
      </c>
      <c r="M993" s="243">
        <v>64.2</v>
      </c>
      <c r="N993" s="241">
        <v>34</v>
      </c>
      <c r="O993" s="242">
        <v>68.7</v>
      </c>
      <c r="P993" s="243">
        <v>109.1</v>
      </c>
      <c r="Z993" s="244">
        <f t="shared" si="46"/>
        <v>99.699999999998028</v>
      </c>
      <c r="AA993" s="376">
        <f t="shared" si="47"/>
        <v>6.828169666291132E-6</v>
      </c>
    </row>
    <row r="994" spans="1:27">
      <c r="A994" s="244">
        <f t="shared" si="45"/>
        <v>99.799999999998022</v>
      </c>
      <c r="B994" s="241">
        <v>11.3</v>
      </c>
      <c r="C994" s="242">
        <v>21.7</v>
      </c>
      <c r="D994" s="243">
        <v>35.5</v>
      </c>
      <c r="E994" s="241">
        <v>12.6</v>
      </c>
      <c r="F994" s="242">
        <v>24.5</v>
      </c>
      <c r="G994" s="243">
        <v>40.200000000000003</v>
      </c>
      <c r="H994" s="241">
        <v>14.7</v>
      </c>
      <c r="I994" s="242">
        <v>29.1</v>
      </c>
      <c r="J994" s="243">
        <v>47.9</v>
      </c>
      <c r="K994" s="241">
        <v>19.5</v>
      </c>
      <c r="L994" s="242">
        <v>39.299999999999997</v>
      </c>
      <c r="M994" s="243">
        <v>64.400000000000006</v>
      </c>
      <c r="N994" s="241">
        <v>34.1</v>
      </c>
      <c r="O994" s="242">
        <v>68.8</v>
      </c>
      <c r="P994" s="243">
        <v>109.3</v>
      </c>
      <c r="Z994" s="244">
        <f t="shared" si="46"/>
        <v>99.799999999998022</v>
      </c>
      <c r="AA994" s="376">
        <f t="shared" si="47"/>
        <v>6.8093710615847877E-6</v>
      </c>
    </row>
    <row r="995" spans="1:27">
      <c r="A995" s="244">
        <f t="shared" si="45"/>
        <v>99.899999999998016</v>
      </c>
      <c r="B995" s="241">
        <v>11.3</v>
      </c>
      <c r="C995" s="242">
        <v>21.7</v>
      </c>
      <c r="D995" s="243">
        <v>35.5</v>
      </c>
      <c r="E995" s="241">
        <v>12.6</v>
      </c>
      <c r="F995" s="242">
        <v>24.5</v>
      </c>
      <c r="G995" s="243">
        <v>40.200000000000003</v>
      </c>
      <c r="H995" s="241">
        <v>14.8</v>
      </c>
      <c r="I995" s="242">
        <v>29.2</v>
      </c>
      <c r="J995" s="243">
        <v>48</v>
      </c>
      <c r="K995" s="241">
        <v>19.600000000000001</v>
      </c>
      <c r="L995" s="242">
        <v>39.299999999999997</v>
      </c>
      <c r="M995" s="243">
        <v>64.5</v>
      </c>
      <c r="N995" s="241">
        <v>34.1</v>
      </c>
      <c r="O995" s="242">
        <v>68.900000000000006</v>
      </c>
      <c r="P995" s="243">
        <v>109.4</v>
      </c>
      <c r="Z995" s="244">
        <f t="shared" si="46"/>
        <v>99.899999999998016</v>
      </c>
      <c r="AA995" s="376">
        <f t="shared" si="47"/>
        <v>6.7906429604100993E-6</v>
      </c>
    </row>
    <row r="996" spans="1:27">
      <c r="A996" s="244">
        <f t="shared" si="45"/>
        <v>99.99999999999801</v>
      </c>
      <c r="B996" s="241">
        <v>11.3</v>
      </c>
      <c r="C996" s="242">
        <v>21.7</v>
      </c>
      <c r="D996" s="243">
        <v>35.6</v>
      </c>
      <c r="E996" s="241">
        <v>12.6</v>
      </c>
      <c r="F996" s="242">
        <v>24.5</v>
      </c>
      <c r="G996" s="243">
        <v>40.299999999999997</v>
      </c>
      <c r="H996" s="241">
        <v>14.8</v>
      </c>
      <c r="I996" s="242">
        <v>29.2</v>
      </c>
      <c r="J996" s="243">
        <v>48</v>
      </c>
      <c r="K996" s="241">
        <v>19.600000000000001</v>
      </c>
      <c r="L996" s="242">
        <v>39.4</v>
      </c>
      <c r="M996" s="243">
        <v>64.599999999999994</v>
      </c>
      <c r="N996" s="241">
        <v>34.200000000000003</v>
      </c>
      <c r="O996" s="242">
        <v>69</v>
      </c>
      <c r="P996" s="243">
        <v>109.6</v>
      </c>
      <c r="Z996" s="244">
        <f t="shared" si="46"/>
        <v>99.99999999999801</v>
      </c>
      <c r="AA996" s="376">
        <f t="shared" si="47"/>
        <v>6.7719850281683453E-6</v>
      </c>
    </row>
    <row r="997" spans="1:27">
      <c r="A997" s="244">
        <f t="shared" si="45"/>
        <v>100.099999999998</v>
      </c>
      <c r="B997" s="241">
        <v>11.3</v>
      </c>
      <c r="C997" s="242">
        <v>21.8</v>
      </c>
      <c r="D997" s="243">
        <v>35.6</v>
      </c>
      <c r="E997" s="241">
        <v>12.6</v>
      </c>
      <c r="F997" s="242">
        <v>24.6</v>
      </c>
      <c r="G997" s="243">
        <v>40.4</v>
      </c>
      <c r="H997" s="241">
        <v>14.8</v>
      </c>
      <c r="I997" s="242">
        <v>29.3</v>
      </c>
      <c r="J997" s="243">
        <v>48.1</v>
      </c>
      <c r="K997" s="241">
        <v>19.600000000000001</v>
      </c>
      <c r="L997" s="242">
        <v>39.5</v>
      </c>
      <c r="M997" s="243">
        <v>64.7</v>
      </c>
      <c r="N997" s="241">
        <v>34.200000000000003</v>
      </c>
      <c r="O997" s="242">
        <v>69.099999999999994</v>
      </c>
      <c r="P997" s="243">
        <v>109.8</v>
      </c>
      <c r="Z997" s="244">
        <f t="shared" si="46"/>
        <v>100.099999999998</v>
      </c>
      <c r="AA997" s="376">
        <f t="shared" si="47"/>
        <v>6.7533969321811421E-6</v>
      </c>
    </row>
    <row r="998" spans="1:27">
      <c r="A998" s="244">
        <f t="shared" si="45"/>
        <v>100.199999999998</v>
      </c>
      <c r="B998" s="241">
        <v>11.3</v>
      </c>
      <c r="C998" s="242">
        <v>21.8</v>
      </c>
      <c r="D998" s="243">
        <v>35.700000000000003</v>
      </c>
      <c r="E998" s="241">
        <v>12.6</v>
      </c>
      <c r="F998" s="242">
        <v>24.6</v>
      </c>
      <c r="G998" s="243">
        <v>40.4</v>
      </c>
      <c r="H998" s="241">
        <v>14.8</v>
      </c>
      <c r="I998" s="242">
        <v>29.3</v>
      </c>
      <c r="J998" s="243">
        <v>48.2</v>
      </c>
      <c r="K998" s="241">
        <v>19.600000000000001</v>
      </c>
      <c r="L998" s="242">
        <v>39.5</v>
      </c>
      <c r="M998" s="243">
        <v>64.8</v>
      </c>
      <c r="N998" s="241">
        <v>34.299999999999997</v>
      </c>
      <c r="O998" s="242">
        <v>69.2</v>
      </c>
      <c r="P998" s="243">
        <v>109.9</v>
      </c>
      <c r="Z998" s="244">
        <f t="shared" si="46"/>
        <v>100.199999999998</v>
      </c>
      <c r="AA998" s="376">
        <f t="shared" si="47"/>
        <v>6.7348783416775279E-6</v>
      </c>
    </row>
    <row r="999" spans="1:27">
      <c r="A999" s="244">
        <f t="shared" si="45"/>
        <v>100.29999999999799</v>
      </c>
      <c r="B999" s="241">
        <v>11.3</v>
      </c>
      <c r="C999" s="242">
        <v>21.8</v>
      </c>
      <c r="D999" s="243">
        <v>35.799999999999997</v>
      </c>
      <c r="E999" s="241">
        <v>12.7</v>
      </c>
      <c r="F999" s="242">
        <v>24.7</v>
      </c>
      <c r="G999" s="243">
        <v>40.5</v>
      </c>
      <c r="H999" s="241">
        <v>14.8</v>
      </c>
      <c r="I999" s="242">
        <v>29.3</v>
      </c>
      <c r="J999" s="243">
        <v>48.3</v>
      </c>
      <c r="K999" s="241">
        <v>19.7</v>
      </c>
      <c r="L999" s="242">
        <v>39.6</v>
      </c>
      <c r="M999" s="243">
        <v>64.900000000000006</v>
      </c>
      <c r="N999" s="241">
        <v>34.299999999999997</v>
      </c>
      <c r="O999" s="242">
        <v>69.3</v>
      </c>
      <c r="P999" s="243">
        <v>110.1</v>
      </c>
      <c r="Z999" s="244">
        <f t="shared" si="46"/>
        <v>100.29999999999799</v>
      </c>
      <c r="AA999" s="376">
        <f t="shared" si="47"/>
        <v>6.7164289277811247E-6</v>
      </c>
    </row>
    <row r="1000" spans="1:27">
      <c r="A1000" s="244">
        <f t="shared" si="45"/>
        <v>100.39999999999799</v>
      </c>
      <c r="B1000" s="241">
        <v>11.4</v>
      </c>
      <c r="C1000" s="242">
        <v>21.9</v>
      </c>
      <c r="D1000" s="243">
        <v>35.799999999999997</v>
      </c>
      <c r="E1000" s="241">
        <v>12.7</v>
      </c>
      <c r="F1000" s="242">
        <v>24.7</v>
      </c>
      <c r="G1000" s="243">
        <v>40.6</v>
      </c>
      <c r="H1000" s="241">
        <v>14.9</v>
      </c>
      <c r="I1000" s="242">
        <v>29.4</v>
      </c>
      <c r="J1000" s="243">
        <v>48.4</v>
      </c>
      <c r="K1000" s="241">
        <v>19.7</v>
      </c>
      <c r="L1000" s="242">
        <v>39.700000000000003</v>
      </c>
      <c r="M1000" s="243">
        <v>65</v>
      </c>
      <c r="N1000" s="241">
        <v>34.4</v>
      </c>
      <c r="O1000" s="242">
        <v>69.400000000000006</v>
      </c>
      <c r="P1000" s="243">
        <v>110.2</v>
      </c>
      <c r="Z1000" s="244">
        <f t="shared" si="46"/>
        <v>100.39999999999799</v>
      </c>
      <c r="AA1000" s="376">
        <f t="shared" si="47"/>
        <v>6.6980483634974246E-6</v>
      </c>
    </row>
    <row r="1001" spans="1:27">
      <c r="A1001" s="244">
        <f t="shared" si="45"/>
        <v>100.49999999999798</v>
      </c>
      <c r="B1001" s="241">
        <v>11.4</v>
      </c>
      <c r="C1001" s="242">
        <v>21.9</v>
      </c>
      <c r="D1001" s="243">
        <v>35.9</v>
      </c>
      <c r="E1001" s="241">
        <v>12.7</v>
      </c>
      <c r="F1001" s="242">
        <v>24.7</v>
      </c>
      <c r="G1001" s="243">
        <v>40.700000000000003</v>
      </c>
      <c r="H1001" s="241">
        <v>14.9</v>
      </c>
      <c r="I1001" s="242">
        <v>29.4</v>
      </c>
      <c r="J1001" s="243">
        <v>48.4</v>
      </c>
      <c r="K1001" s="241">
        <v>19.7</v>
      </c>
      <c r="L1001" s="242">
        <v>39.700000000000003</v>
      </c>
      <c r="M1001" s="243">
        <v>65.099999999999994</v>
      </c>
      <c r="N1001" s="241">
        <v>34.4</v>
      </c>
      <c r="O1001" s="242">
        <v>69.5</v>
      </c>
      <c r="P1001" s="243">
        <v>110.4</v>
      </c>
      <c r="Z1001" s="244">
        <f t="shared" si="46"/>
        <v>100.49999999999798</v>
      </c>
      <c r="AA1001" s="376">
        <f t="shared" si="47"/>
        <v>6.6797363237011412E-6</v>
      </c>
    </row>
    <row r="1002" spans="1:27">
      <c r="A1002" s="244">
        <f t="shared" si="45"/>
        <v>100.59999999999798</v>
      </c>
      <c r="B1002" s="241">
        <v>11.4</v>
      </c>
      <c r="C1002" s="242">
        <v>21.9</v>
      </c>
      <c r="D1002" s="243">
        <v>36</v>
      </c>
      <c r="E1002" s="241">
        <v>12.7</v>
      </c>
      <c r="F1002" s="242">
        <v>24.8</v>
      </c>
      <c r="G1002" s="243">
        <v>40.700000000000003</v>
      </c>
      <c r="H1002" s="241">
        <v>14.9</v>
      </c>
      <c r="I1002" s="242">
        <v>29.5</v>
      </c>
      <c r="J1002" s="243">
        <v>48.5</v>
      </c>
      <c r="K1002" s="241">
        <v>19.8</v>
      </c>
      <c r="L1002" s="242">
        <v>39.799999999999997</v>
      </c>
      <c r="M1002" s="243">
        <v>65.2</v>
      </c>
      <c r="N1002" s="241">
        <v>34.5</v>
      </c>
      <c r="O1002" s="242">
        <v>69.599999999999994</v>
      </c>
      <c r="P1002" s="243">
        <v>110.6</v>
      </c>
      <c r="Z1002" s="244">
        <f t="shared" si="46"/>
        <v>100.59999999999798</v>
      </c>
      <c r="AA1002" s="376">
        <f t="shared" si="47"/>
        <v>6.6614924851237077E-6</v>
      </c>
    </row>
    <row r="1003" spans="1:27">
      <c r="A1003" s="244">
        <f t="shared" si="45"/>
        <v>100.69999999999797</v>
      </c>
      <c r="B1003" s="241">
        <v>11.4</v>
      </c>
      <c r="C1003" s="242">
        <v>22</v>
      </c>
      <c r="D1003" s="243">
        <v>36</v>
      </c>
      <c r="E1003" s="241">
        <v>12.7</v>
      </c>
      <c r="F1003" s="242">
        <v>24.8</v>
      </c>
      <c r="G1003" s="243">
        <v>40.799999999999997</v>
      </c>
      <c r="H1003" s="241">
        <v>14.9</v>
      </c>
      <c r="I1003" s="242">
        <v>29.5</v>
      </c>
      <c r="J1003" s="243">
        <v>48.6</v>
      </c>
      <c r="K1003" s="241">
        <v>19.8</v>
      </c>
      <c r="L1003" s="242">
        <v>39.9</v>
      </c>
      <c r="M1003" s="243">
        <v>65.3</v>
      </c>
      <c r="N1003" s="241">
        <v>34.6</v>
      </c>
      <c r="O1003" s="242">
        <v>69.8</v>
      </c>
      <c r="P1003" s="243">
        <v>110.7</v>
      </c>
      <c r="Z1003" s="244">
        <f t="shared" si="46"/>
        <v>100.69999999999797</v>
      </c>
      <c r="AA1003" s="376">
        <f t="shared" si="47"/>
        <v>6.6433165263408211E-6</v>
      </c>
    </row>
    <row r="1004" spans="1:27">
      <c r="A1004" s="244">
        <f t="shared" si="45"/>
        <v>100.79999999999797</v>
      </c>
      <c r="B1004" s="241">
        <v>11.4</v>
      </c>
      <c r="C1004" s="242">
        <v>22</v>
      </c>
      <c r="D1004" s="243">
        <v>36.1</v>
      </c>
      <c r="E1004" s="241">
        <v>12.8</v>
      </c>
      <c r="F1004" s="242">
        <v>24.9</v>
      </c>
      <c r="G1004" s="243">
        <v>40.9</v>
      </c>
      <c r="H1004" s="241">
        <v>15</v>
      </c>
      <c r="I1004" s="242">
        <v>29.6</v>
      </c>
      <c r="J1004" s="243">
        <v>48.7</v>
      </c>
      <c r="K1004" s="241">
        <v>19.8</v>
      </c>
      <c r="L1004" s="242">
        <v>39.9</v>
      </c>
      <c r="M1004" s="243">
        <v>65.400000000000006</v>
      </c>
      <c r="N1004" s="241">
        <v>34.6</v>
      </c>
      <c r="O1004" s="242">
        <v>69.900000000000006</v>
      </c>
      <c r="P1004" s="243">
        <v>110.9</v>
      </c>
      <c r="Z1004" s="244">
        <f t="shared" si="46"/>
        <v>100.79999999999797</v>
      </c>
      <c r="AA1004" s="376">
        <f t="shared" si="47"/>
        <v>6.6252081277600961E-6</v>
      </c>
    </row>
    <row r="1005" spans="1:27">
      <c r="A1005" s="244">
        <f t="shared" si="45"/>
        <v>100.89999999999796</v>
      </c>
      <c r="B1005" s="241">
        <v>11.4</v>
      </c>
      <c r="C1005" s="242">
        <v>22</v>
      </c>
      <c r="D1005" s="243">
        <v>36.1</v>
      </c>
      <c r="E1005" s="241">
        <v>12.8</v>
      </c>
      <c r="F1005" s="242">
        <v>24.9</v>
      </c>
      <c r="G1005" s="243">
        <v>40.9</v>
      </c>
      <c r="H1005" s="241">
        <v>15</v>
      </c>
      <c r="I1005" s="242">
        <v>29.6</v>
      </c>
      <c r="J1005" s="243">
        <v>48.8</v>
      </c>
      <c r="K1005" s="241">
        <v>19.899999999999999</v>
      </c>
      <c r="L1005" s="242">
        <v>40</v>
      </c>
      <c r="M1005" s="243">
        <v>65.5</v>
      </c>
      <c r="N1005" s="241">
        <v>34.700000000000003</v>
      </c>
      <c r="O1005" s="242">
        <v>70</v>
      </c>
      <c r="P1005" s="243">
        <v>111.1</v>
      </c>
      <c r="Z1005" s="244">
        <f t="shared" si="46"/>
        <v>100.89999999999796</v>
      </c>
      <c r="AA1005" s="376">
        <f t="shared" si="47"/>
        <v>6.6071669716088496E-6</v>
      </c>
    </row>
    <row r="1006" spans="1:27">
      <c r="A1006" s="244">
        <f t="shared" si="45"/>
        <v>100.99999999999795</v>
      </c>
      <c r="B1006" s="241">
        <v>11.5</v>
      </c>
      <c r="C1006" s="242">
        <v>22.1</v>
      </c>
      <c r="D1006" s="243">
        <v>36.200000000000003</v>
      </c>
      <c r="E1006" s="241">
        <v>12.8</v>
      </c>
      <c r="F1006" s="242">
        <v>25</v>
      </c>
      <c r="G1006" s="243">
        <v>41</v>
      </c>
      <c r="H1006" s="241">
        <v>15</v>
      </c>
      <c r="I1006" s="242">
        <v>29.7</v>
      </c>
      <c r="J1006" s="243">
        <v>48.9</v>
      </c>
      <c r="K1006" s="241">
        <v>19.899999999999999</v>
      </c>
      <c r="L1006" s="242">
        <v>40.1</v>
      </c>
      <c r="M1006" s="243">
        <v>65.599999999999994</v>
      </c>
      <c r="N1006" s="241">
        <v>34.700000000000003</v>
      </c>
      <c r="O1006" s="242">
        <v>70.099999999999994</v>
      </c>
      <c r="P1006" s="243">
        <v>111.3</v>
      </c>
      <c r="Z1006" s="244">
        <f t="shared" si="46"/>
        <v>100.99999999999795</v>
      </c>
      <c r="AA1006" s="376">
        <f t="shared" si="47"/>
        <v>6.5891927419219269E-6</v>
      </c>
    </row>
    <row r="1007" spans="1:27">
      <c r="A1007" s="244">
        <f t="shared" si="45"/>
        <v>101.09999999999795</v>
      </c>
      <c r="B1007" s="241">
        <v>11.5</v>
      </c>
      <c r="C1007" s="242">
        <v>22.1</v>
      </c>
      <c r="D1007" s="243">
        <v>36.299999999999997</v>
      </c>
      <c r="E1007" s="241">
        <v>12.8</v>
      </c>
      <c r="F1007" s="242">
        <v>25</v>
      </c>
      <c r="G1007" s="243">
        <v>41.1</v>
      </c>
      <c r="H1007" s="241">
        <v>15</v>
      </c>
      <c r="I1007" s="242">
        <v>29.8</v>
      </c>
      <c r="J1007" s="243">
        <v>49</v>
      </c>
      <c r="K1007" s="241">
        <v>19.899999999999999</v>
      </c>
      <c r="L1007" s="242">
        <v>40.1</v>
      </c>
      <c r="M1007" s="243">
        <v>65.8</v>
      </c>
      <c r="N1007" s="241">
        <v>34.799999999999997</v>
      </c>
      <c r="O1007" s="242">
        <v>70.2</v>
      </c>
      <c r="P1007" s="243">
        <v>111.4</v>
      </c>
      <c r="Z1007" s="244">
        <f t="shared" si="46"/>
        <v>101.09999999999795</v>
      </c>
      <c r="AA1007" s="376">
        <f t="shared" si="47"/>
        <v>6.571285124529642E-6</v>
      </c>
    </row>
    <row r="1008" spans="1:27">
      <c r="A1008" s="244">
        <f t="shared" si="45"/>
        <v>101.19999999999794</v>
      </c>
      <c r="B1008" s="241">
        <v>11.5</v>
      </c>
      <c r="C1008" s="242">
        <v>22.2</v>
      </c>
      <c r="D1008" s="243">
        <v>36.299999999999997</v>
      </c>
      <c r="E1008" s="241">
        <v>12.8</v>
      </c>
      <c r="F1008" s="242">
        <v>25</v>
      </c>
      <c r="G1008" s="243">
        <v>41.2</v>
      </c>
      <c r="H1008" s="241">
        <v>15.1</v>
      </c>
      <c r="I1008" s="242">
        <v>29.8</v>
      </c>
      <c r="J1008" s="243">
        <v>49</v>
      </c>
      <c r="K1008" s="241">
        <v>20</v>
      </c>
      <c r="L1008" s="242">
        <v>40.200000000000003</v>
      </c>
      <c r="M1008" s="243">
        <v>65.900000000000006</v>
      </c>
      <c r="N1008" s="241">
        <v>34.9</v>
      </c>
      <c r="O1008" s="242">
        <v>70.400000000000006</v>
      </c>
      <c r="P1008" s="243">
        <v>111.6</v>
      </c>
      <c r="Z1008" s="244">
        <f t="shared" si="46"/>
        <v>101.19999999999794</v>
      </c>
      <c r="AA1008" s="376">
        <f t="shared" si="47"/>
        <v>6.5534438070458313E-6</v>
      </c>
    </row>
    <row r="1009" spans="1:27">
      <c r="A1009" s="244">
        <f t="shared" si="45"/>
        <v>101.29999999999794</v>
      </c>
      <c r="B1009" s="241">
        <v>11.5</v>
      </c>
      <c r="C1009" s="242">
        <v>22.2</v>
      </c>
      <c r="D1009" s="243">
        <v>36.4</v>
      </c>
      <c r="E1009" s="241">
        <v>12.9</v>
      </c>
      <c r="F1009" s="242">
        <v>25.1</v>
      </c>
      <c r="G1009" s="243">
        <v>41.2</v>
      </c>
      <c r="H1009" s="241">
        <v>15.1</v>
      </c>
      <c r="I1009" s="242">
        <v>29.9</v>
      </c>
      <c r="J1009" s="243">
        <v>49.1</v>
      </c>
      <c r="K1009" s="241">
        <v>20</v>
      </c>
      <c r="L1009" s="242">
        <v>40.299999999999997</v>
      </c>
      <c r="M1009" s="243">
        <v>66</v>
      </c>
      <c r="N1009" s="241">
        <v>35</v>
      </c>
      <c r="O1009" s="242">
        <v>70.5</v>
      </c>
      <c r="P1009" s="243">
        <v>111.8</v>
      </c>
      <c r="Z1009" s="244">
        <f t="shared" si="46"/>
        <v>101.29999999999794</v>
      </c>
      <c r="AA1009" s="376">
        <f t="shared" si="47"/>
        <v>6.5356684788559617E-6</v>
      </c>
    </row>
    <row r="1010" spans="1:27">
      <c r="A1010" s="244">
        <f t="shared" si="45"/>
        <v>101.39999999999793</v>
      </c>
      <c r="B1010" s="241">
        <v>11.5</v>
      </c>
      <c r="C1010" s="242">
        <v>22.2</v>
      </c>
      <c r="D1010" s="243">
        <v>36.5</v>
      </c>
      <c r="E1010" s="241">
        <v>12.9</v>
      </c>
      <c r="F1010" s="242">
        <v>25.1</v>
      </c>
      <c r="G1010" s="243">
        <v>41.3</v>
      </c>
      <c r="H1010" s="241">
        <v>15.1</v>
      </c>
      <c r="I1010" s="242">
        <v>29.9</v>
      </c>
      <c r="J1010" s="243">
        <v>49.2</v>
      </c>
      <c r="K1010" s="241">
        <v>20.100000000000001</v>
      </c>
      <c r="L1010" s="242">
        <v>40.4</v>
      </c>
      <c r="M1010" s="243">
        <v>66.099999999999994</v>
      </c>
      <c r="N1010" s="241">
        <v>35</v>
      </c>
      <c r="O1010" s="242">
        <v>70.599999999999994</v>
      </c>
      <c r="P1010" s="243">
        <v>112</v>
      </c>
      <c r="Z1010" s="244">
        <f t="shared" si="46"/>
        <v>101.39999999999793</v>
      </c>
      <c r="AA1010" s="376">
        <f t="shared" si="47"/>
        <v>6.5179588311053569E-6</v>
      </c>
    </row>
    <row r="1011" spans="1:27">
      <c r="A1011" s="244">
        <f t="shared" si="45"/>
        <v>101.49999999999793</v>
      </c>
      <c r="B1011" s="241">
        <v>11.6</v>
      </c>
      <c r="C1011" s="242">
        <v>22.3</v>
      </c>
      <c r="D1011" s="243">
        <v>36.5</v>
      </c>
      <c r="E1011" s="241">
        <v>12.9</v>
      </c>
      <c r="F1011" s="242">
        <v>25.2</v>
      </c>
      <c r="G1011" s="243">
        <v>41.4</v>
      </c>
      <c r="H1011" s="241">
        <v>15.1</v>
      </c>
      <c r="I1011" s="242">
        <v>30</v>
      </c>
      <c r="J1011" s="243">
        <v>49.3</v>
      </c>
      <c r="K1011" s="241">
        <v>20.100000000000001</v>
      </c>
      <c r="L1011" s="242">
        <v>40.4</v>
      </c>
      <c r="M1011" s="243">
        <v>66.2</v>
      </c>
      <c r="N1011" s="241">
        <v>35.1</v>
      </c>
      <c r="O1011" s="242">
        <v>70.8</v>
      </c>
      <c r="P1011" s="243">
        <v>112.1</v>
      </c>
      <c r="Z1011" s="244">
        <f t="shared" si="46"/>
        <v>101.49999999999793</v>
      </c>
      <c r="AA1011" s="376">
        <f t="shared" si="47"/>
        <v>6.5003145566874978E-6</v>
      </c>
    </row>
    <row r="1012" spans="1:27">
      <c r="A1012" s="244">
        <f t="shared" si="45"/>
        <v>101.59999999999792</v>
      </c>
      <c r="B1012" s="241">
        <v>11.6</v>
      </c>
      <c r="C1012" s="242">
        <v>22.3</v>
      </c>
      <c r="D1012" s="243">
        <v>36.6</v>
      </c>
      <c r="E1012" s="241">
        <v>12.9</v>
      </c>
      <c r="F1012" s="242">
        <v>25.2</v>
      </c>
      <c r="G1012" s="243">
        <v>41.5</v>
      </c>
      <c r="H1012" s="241">
        <v>15.2</v>
      </c>
      <c r="I1012" s="242">
        <v>30</v>
      </c>
      <c r="J1012" s="243">
        <v>49.4</v>
      </c>
      <c r="K1012" s="241">
        <v>20.100000000000001</v>
      </c>
      <c r="L1012" s="242">
        <v>40.5</v>
      </c>
      <c r="M1012" s="243">
        <v>66.3</v>
      </c>
      <c r="N1012" s="241">
        <v>35.200000000000003</v>
      </c>
      <c r="O1012" s="242">
        <v>70.900000000000006</v>
      </c>
      <c r="P1012" s="243">
        <v>112.3</v>
      </c>
      <c r="Z1012" s="244">
        <f t="shared" si="46"/>
        <v>101.59999999999792</v>
      </c>
      <c r="AA1012" s="376">
        <f t="shared" si="47"/>
        <v>6.482735350232427E-6</v>
      </c>
    </row>
    <row r="1013" spans="1:27">
      <c r="A1013" s="244">
        <f t="shared" si="45"/>
        <v>101.69999999999791</v>
      </c>
      <c r="B1013" s="241">
        <v>11.6</v>
      </c>
      <c r="C1013" s="242">
        <v>22.4</v>
      </c>
      <c r="D1013" s="243">
        <v>36.700000000000003</v>
      </c>
      <c r="E1013" s="241">
        <v>13</v>
      </c>
      <c r="F1013" s="242">
        <v>25.3</v>
      </c>
      <c r="G1013" s="243">
        <v>41.5</v>
      </c>
      <c r="H1013" s="241">
        <v>15.2</v>
      </c>
      <c r="I1013" s="242">
        <v>30.1</v>
      </c>
      <c r="J1013" s="243">
        <v>49.5</v>
      </c>
      <c r="K1013" s="241">
        <v>20.2</v>
      </c>
      <c r="L1013" s="242">
        <v>40.6</v>
      </c>
      <c r="M1013" s="243">
        <v>66.5</v>
      </c>
      <c r="N1013" s="241">
        <v>35.299999999999997</v>
      </c>
      <c r="O1013" s="242">
        <v>71</v>
      </c>
      <c r="P1013" s="243">
        <v>112.5</v>
      </c>
      <c r="Z1013" s="244">
        <f t="shared" si="46"/>
        <v>101.69999999999791</v>
      </c>
      <c r="AA1013" s="376">
        <f t="shared" si="47"/>
        <v>6.4652209080952281E-6</v>
      </c>
    </row>
    <row r="1014" spans="1:27">
      <c r="A1014" s="244">
        <f t="shared" si="45"/>
        <v>101.79999999999791</v>
      </c>
      <c r="B1014" s="241">
        <v>11.6</v>
      </c>
      <c r="C1014" s="242">
        <v>22.4</v>
      </c>
      <c r="D1014" s="243">
        <v>36.700000000000003</v>
      </c>
      <c r="E1014" s="241">
        <v>13</v>
      </c>
      <c r="F1014" s="242">
        <v>25.3</v>
      </c>
      <c r="G1014" s="243">
        <v>41.6</v>
      </c>
      <c r="H1014" s="241">
        <v>15.2</v>
      </c>
      <c r="I1014" s="242">
        <v>30.2</v>
      </c>
      <c r="J1014" s="243">
        <v>49.6</v>
      </c>
      <c r="K1014" s="241">
        <v>20.2</v>
      </c>
      <c r="L1014" s="242">
        <v>40.700000000000003</v>
      </c>
      <c r="M1014" s="243">
        <v>66.599999999999994</v>
      </c>
      <c r="N1014" s="241">
        <v>35.299999999999997</v>
      </c>
      <c r="O1014" s="242">
        <v>71.099999999999994</v>
      </c>
      <c r="P1014" s="243">
        <v>112.7</v>
      </c>
      <c r="Z1014" s="244">
        <f t="shared" si="46"/>
        <v>101.79999999999791</v>
      </c>
      <c r="AA1014" s="376">
        <f t="shared" si="47"/>
        <v>6.447770928344589E-6</v>
      </c>
    </row>
    <row r="1015" spans="1:27">
      <c r="A1015" s="244">
        <f t="shared" si="45"/>
        <v>101.8999999999979</v>
      </c>
      <c r="B1015" s="241">
        <v>11.7</v>
      </c>
      <c r="C1015" s="242">
        <v>22.5</v>
      </c>
      <c r="D1015" s="243">
        <v>36.799999999999997</v>
      </c>
      <c r="E1015" s="241">
        <v>13</v>
      </c>
      <c r="F1015" s="242">
        <v>25.4</v>
      </c>
      <c r="G1015" s="243">
        <v>41.7</v>
      </c>
      <c r="H1015" s="241">
        <v>15.3</v>
      </c>
      <c r="I1015" s="242">
        <v>30.2</v>
      </c>
      <c r="J1015" s="243">
        <v>49.7</v>
      </c>
      <c r="K1015" s="241">
        <v>20.3</v>
      </c>
      <c r="L1015" s="242">
        <v>40.799999999999997</v>
      </c>
      <c r="M1015" s="243">
        <v>66.7</v>
      </c>
      <c r="N1015" s="241">
        <v>35.4</v>
      </c>
      <c r="O1015" s="242">
        <v>71.3</v>
      </c>
      <c r="P1015" s="243">
        <v>112.9</v>
      </c>
      <c r="Z1015" s="244">
        <f t="shared" si="46"/>
        <v>101.8999999999979</v>
      </c>
      <c r="AA1015" s="376">
        <f t="shared" si="47"/>
        <v>6.4303851107514739E-6</v>
      </c>
    </row>
    <row r="1016" spans="1:27">
      <c r="A1016" s="244">
        <f t="shared" si="45"/>
        <v>101.9999999999979</v>
      </c>
      <c r="B1016" s="241">
        <v>11.7</v>
      </c>
      <c r="C1016" s="242">
        <v>22.5</v>
      </c>
      <c r="D1016" s="243">
        <v>36.9</v>
      </c>
      <c r="E1016" s="241">
        <v>13</v>
      </c>
      <c r="F1016" s="242">
        <v>25.4</v>
      </c>
      <c r="G1016" s="243">
        <v>41.8</v>
      </c>
      <c r="H1016" s="241">
        <v>15.3</v>
      </c>
      <c r="I1016" s="242">
        <v>30.3</v>
      </c>
      <c r="J1016" s="243">
        <v>49.8</v>
      </c>
      <c r="K1016" s="241">
        <v>20.3</v>
      </c>
      <c r="L1016" s="242">
        <v>40.799999999999997</v>
      </c>
      <c r="M1016" s="243">
        <v>66.8</v>
      </c>
      <c r="N1016" s="241">
        <v>35.5</v>
      </c>
      <c r="O1016" s="242">
        <v>71.400000000000006</v>
      </c>
      <c r="P1016" s="243">
        <v>113</v>
      </c>
      <c r="Z1016" s="244">
        <f t="shared" si="46"/>
        <v>101.9999999999979</v>
      </c>
      <c r="AA1016" s="376">
        <f t="shared" si="47"/>
        <v>6.4130631567778594E-6</v>
      </c>
    </row>
    <row r="1017" spans="1:27">
      <c r="A1017" s="244">
        <f t="shared" si="45"/>
        <v>102.09999999999789</v>
      </c>
      <c r="B1017" s="241">
        <v>11.7</v>
      </c>
      <c r="C1017" s="242">
        <v>22.6</v>
      </c>
      <c r="D1017" s="243">
        <v>36.9</v>
      </c>
      <c r="E1017" s="241">
        <v>13.1</v>
      </c>
      <c r="F1017" s="242">
        <v>25.5</v>
      </c>
      <c r="G1017" s="243">
        <v>41.9</v>
      </c>
      <c r="H1017" s="241">
        <v>15.3</v>
      </c>
      <c r="I1017" s="242">
        <v>30.3</v>
      </c>
      <c r="J1017" s="243">
        <v>49.9</v>
      </c>
      <c r="K1017" s="241">
        <v>20.399999999999999</v>
      </c>
      <c r="L1017" s="242">
        <v>40.9</v>
      </c>
      <c r="M1017" s="243">
        <v>67</v>
      </c>
      <c r="N1017" s="241">
        <v>35.6</v>
      </c>
      <c r="O1017" s="242">
        <v>71.599999999999994</v>
      </c>
      <c r="P1017" s="243">
        <v>113.2</v>
      </c>
      <c r="Z1017" s="244">
        <f t="shared" si="46"/>
        <v>102.09999999999789</v>
      </c>
      <c r="AA1017" s="376">
        <f t="shared" si="47"/>
        <v>6.395804769565572E-6</v>
      </c>
    </row>
    <row r="1018" spans="1:27">
      <c r="A1018" s="244">
        <f t="shared" si="45"/>
        <v>102.19999999999789</v>
      </c>
      <c r="B1018" s="241">
        <v>11.7</v>
      </c>
      <c r="C1018" s="242">
        <v>22.6</v>
      </c>
      <c r="D1018" s="243">
        <v>37</v>
      </c>
      <c r="E1018" s="241">
        <v>13.1</v>
      </c>
      <c r="F1018" s="242">
        <v>25.5</v>
      </c>
      <c r="G1018" s="243">
        <v>41.9</v>
      </c>
      <c r="H1018" s="241">
        <v>15.4</v>
      </c>
      <c r="I1018" s="242">
        <v>30.4</v>
      </c>
      <c r="J1018" s="243">
        <v>50</v>
      </c>
      <c r="K1018" s="241">
        <v>20.399999999999999</v>
      </c>
      <c r="L1018" s="242">
        <v>41</v>
      </c>
      <c r="M1018" s="243">
        <v>67.099999999999994</v>
      </c>
      <c r="N1018" s="241">
        <v>35.700000000000003</v>
      </c>
      <c r="O1018" s="242">
        <v>71.7</v>
      </c>
      <c r="P1018" s="243">
        <v>113.4</v>
      </c>
      <c r="Z1018" s="244">
        <f t="shared" si="46"/>
        <v>102.19999999999789</v>
      </c>
      <c r="AA1018" s="376">
        <f t="shared" si="47"/>
        <v>6.3786096539251992E-6</v>
      </c>
    </row>
    <row r="1019" spans="1:27">
      <c r="A1019" s="244">
        <f t="shared" si="45"/>
        <v>102.29999999999788</v>
      </c>
      <c r="B1019" s="241">
        <v>11.8</v>
      </c>
      <c r="C1019" s="242">
        <v>22.6</v>
      </c>
      <c r="D1019" s="243">
        <v>37.1</v>
      </c>
      <c r="E1019" s="241">
        <v>13.1</v>
      </c>
      <c r="F1019" s="242">
        <v>25.6</v>
      </c>
      <c r="G1019" s="243">
        <v>42</v>
      </c>
      <c r="H1019" s="241">
        <v>15.4</v>
      </c>
      <c r="I1019" s="242">
        <v>30.5</v>
      </c>
      <c r="J1019" s="243">
        <v>50.1</v>
      </c>
      <c r="K1019" s="241">
        <v>20.5</v>
      </c>
      <c r="L1019" s="242">
        <v>41.1</v>
      </c>
      <c r="M1019" s="243">
        <v>67.2</v>
      </c>
      <c r="N1019" s="241">
        <v>35.799999999999997</v>
      </c>
      <c r="O1019" s="242">
        <v>71.900000000000006</v>
      </c>
      <c r="P1019" s="243">
        <v>113.6</v>
      </c>
      <c r="Z1019" s="244">
        <f t="shared" si="46"/>
        <v>102.29999999999788</v>
      </c>
      <c r="AA1019" s="376">
        <f t="shared" si="47"/>
        <v>6.3614775163250787E-6</v>
      </c>
    </row>
    <row r="1020" spans="1:27">
      <c r="A1020" s="244">
        <f t="shared" si="45"/>
        <v>102.39999999999787</v>
      </c>
      <c r="B1020" s="241">
        <v>11.8</v>
      </c>
      <c r="C1020" s="242">
        <v>22.7</v>
      </c>
      <c r="D1020" s="243">
        <v>37.200000000000003</v>
      </c>
      <c r="E1020" s="241">
        <v>13.2</v>
      </c>
      <c r="F1020" s="242">
        <v>25.6</v>
      </c>
      <c r="G1020" s="243">
        <v>42.1</v>
      </c>
      <c r="H1020" s="241">
        <v>15.5</v>
      </c>
      <c r="I1020" s="242">
        <v>30.5</v>
      </c>
      <c r="J1020" s="243">
        <v>50.1</v>
      </c>
      <c r="K1020" s="241">
        <v>20.5</v>
      </c>
      <c r="L1020" s="242">
        <v>41.2</v>
      </c>
      <c r="M1020" s="243">
        <v>67.3</v>
      </c>
      <c r="N1020" s="241">
        <v>35.9</v>
      </c>
      <c r="O1020" s="242">
        <v>72</v>
      </c>
      <c r="P1020" s="243">
        <v>113.8</v>
      </c>
      <c r="Z1020" s="244">
        <f t="shared" si="46"/>
        <v>102.39999999999787</v>
      </c>
      <c r="AA1020" s="376">
        <f t="shared" si="47"/>
        <v>6.3444080648803953E-6</v>
      </c>
    </row>
    <row r="1021" spans="1:27">
      <c r="A1021" s="244">
        <f t="shared" si="45"/>
        <v>102.49999999999787</v>
      </c>
      <c r="B1021" s="241">
        <v>11.8</v>
      </c>
      <c r="C1021" s="242">
        <v>22.7</v>
      </c>
      <c r="D1021" s="243">
        <v>37.200000000000003</v>
      </c>
      <c r="E1021" s="241">
        <v>13.2</v>
      </c>
      <c r="F1021" s="242">
        <v>25.7</v>
      </c>
      <c r="G1021" s="243">
        <v>42.2</v>
      </c>
      <c r="H1021" s="241">
        <v>15.5</v>
      </c>
      <c r="I1021" s="242">
        <v>30.6</v>
      </c>
      <c r="J1021" s="243">
        <v>50.2</v>
      </c>
      <c r="K1021" s="241">
        <v>20.6</v>
      </c>
      <c r="L1021" s="242">
        <v>41.3</v>
      </c>
      <c r="M1021" s="243">
        <v>67.5</v>
      </c>
      <c r="N1021" s="241">
        <v>36</v>
      </c>
      <c r="O1021" s="242">
        <v>72.099999999999994</v>
      </c>
      <c r="P1021" s="243">
        <v>114</v>
      </c>
      <c r="Z1021" s="244">
        <f t="shared" si="46"/>
        <v>102.49999999999787</v>
      </c>
      <c r="AA1021" s="376">
        <f t="shared" si="47"/>
        <v>6.3274010093423372E-6</v>
      </c>
    </row>
    <row r="1022" spans="1:27">
      <c r="A1022" s="244">
        <f t="shared" si="45"/>
        <v>102.59999999999786</v>
      </c>
      <c r="B1022" s="241">
        <v>11.9</v>
      </c>
      <c r="C1022" s="242">
        <v>22.8</v>
      </c>
      <c r="D1022" s="243">
        <v>37.299999999999997</v>
      </c>
      <c r="E1022" s="241">
        <v>13.2</v>
      </c>
      <c r="F1022" s="242">
        <v>25.8</v>
      </c>
      <c r="G1022" s="243">
        <v>42.3</v>
      </c>
      <c r="H1022" s="241">
        <v>15.5</v>
      </c>
      <c r="I1022" s="242">
        <v>30.7</v>
      </c>
      <c r="J1022" s="243">
        <v>50.3</v>
      </c>
      <c r="K1022" s="241">
        <v>20.6</v>
      </c>
      <c r="L1022" s="242">
        <v>41.4</v>
      </c>
      <c r="M1022" s="243">
        <v>67.599999999999994</v>
      </c>
      <c r="N1022" s="241">
        <v>36.1</v>
      </c>
      <c r="O1022" s="242">
        <v>72.3</v>
      </c>
      <c r="P1022" s="243">
        <v>114.2</v>
      </c>
      <c r="Z1022" s="244">
        <f t="shared" si="46"/>
        <v>102.59999999999786</v>
      </c>
      <c r="AA1022" s="376">
        <f t="shared" si="47"/>
        <v>6.3104560610873381E-6</v>
      </c>
    </row>
    <row r="1023" spans="1:27">
      <c r="A1023" s="244">
        <f t="shared" si="45"/>
        <v>102.69999999999786</v>
      </c>
      <c r="B1023" s="241">
        <v>11.9</v>
      </c>
      <c r="C1023" s="242">
        <v>22.8</v>
      </c>
      <c r="D1023" s="243">
        <v>37.4</v>
      </c>
      <c r="E1023" s="241">
        <v>13.3</v>
      </c>
      <c r="F1023" s="242">
        <v>25.8</v>
      </c>
      <c r="G1023" s="243">
        <v>42.3</v>
      </c>
      <c r="H1023" s="241">
        <v>15.6</v>
      </c>
      <c r="I1023" s="242">
        <v>30.7</v>
      </c>
      <c r="J1023" s="243">
        <v>50.4</v>
      </c>
      <c r="K1023" s="241">
        <v>20.7</v>
      </c>
      <c r="L1023" s="242">
        <v>41.5</v>
      </c>
      <c r="M1023" s="243">
        <v>67.7</v>
      </c>
      <c r="N1023" s="241">
        <v>36.200000000000003</v>
      </c>
      <c r="O1023" s="242">
        <v>72.400000000000006</v>
      </c>
      <c r="P1023" s="243">
        <v>114.4</v>
      </c>
      <c r="Z1023" s="244">
        <f t="shared" si="46"/>
        <v>102.69999999999786</v>
      </c>
      <c r="AA1023" s="376">
        <f t="shared" si="47"/>
        <v>6.2935729331064205E-6</v>
      </c>
    </row>
    <row r="1024" spans="1:27">
      <c r="A1024" s="244">
        <f t="shared" si="45"/>
        <v>102.79999999999785</v>
      </c>
      <c r="B1024" s="241">
        <v>11.9</v>
      </c>
      <c r="C1024" s="242">
        <v>22.9</v>
      </c>
      <c r="D1024" s="243">
        <v>37.5</v>
      </c>
      <c r="E1024" s="241">
        <v>13.3</v>
      </c>
      <c r="F1024" s="242">
        <v>25.9</v>
      </c>
      <c r="G1024" s="243">
        <v>42.4</v>
      </c>
      <c r="H1024" s="241">
        <v>15.6</v>
      </c>
      <c r="I1024" s="242">
        <v>30.8</v>
      </c>
      <c r="J1024" s="243">
        <v>50.5</v>
      </c>
      <c r="K1024" s="241">
        <v>20.8</v>
      </c>
      <c r="L1024" s="242">
        <v>41.6</v>
      </c>
      <c r="M1024" s="243">
        <v>67.8</v>
      </c>
      <c r="N1024" s="241">
        <v>36.299999999999997</v>
      </c>
      <c r="O1024" s="242">
        <v>72.599999999999994</v>
      </c>
      <c r="P1024" s="243">
        <v>114.6</v>
      </c>
      <c r="Z1024" s="244">
        <f t="shared" si="46"/>
        <v>102.79999999999785</v>
      </c>
      <c r="AA1024" s="376">
        <f t="shared" si="47"/>
        <v>6.2767513399945805E-6</v>
      </c>
    </row>
    <row r="1025" spans="1:27">
      <c r="A1025" s="244">
        <f t="shared" si="45"/>
        <v>102.89999999999785</v>
      </c>
      <c r="B1025" s="241">
        <v>11.9</v>
      </c>
      <c r="C1025" s="242">
        <v>22.9</v>
      </c>
      <c r="D1025" s="243">
        <v>37.5</v>
      </c>
      <c r="E1025" s="241">
        <v>13.3</v>
      </c>
      <c r="F1025" s="242">
        <v>25.9</v>
      </c>
      <c r="G1025" s="243">
        <v>42.5</v>
      </c>
      <c r="H1025" s="241">
        <v>15.7</v>
      </c>
      <c r="I1025" s="242">
        <v>30.9</v>
      </c>
      <c r="J1025" s="243">
        <v>50.6</v>
      </c>
      <c r="K1025" s="241">
        <v>20.8</v>
      </c>
      <c r="L1025" s="242">
        <v>41.6</v>
      </c>
      <c r="M1025" s="243">
        <v>68</v>
      </c>
      <c r="N1025" s="241">
        <v>36.4</v>
      </c>
      <c r="O1025" s="242">
        <v>72.8</v>
      </c>
      <c r="P1025" s="243">
        <v>114.8</v>
      </c>
      <c r="Z1025" s="244">
        <f t="shared" si="46"/>
        <v>102.89999999999785</v>
      </c>
      <c r="AA1025" s="376">
        <f t="shared" si="47"/>
        <v>6.2599909979402943E-6</v>
      </c>
    </row>
    <row r="1026" spans="1:27">
      <c r="A1026" s="244">
        <f t="shared" si="45"/>
        <v>102.99999999999784</v>
      </c>
      <c r="B1026" s="241">
        <v>12</v>
      </c>
      <c r="C1026" s="242">
        <v>23</v>
      </c>
      <c r="D1026" s="243">
        <v>37.6</v>
      </c>
      <c r="E1026" s="241">
        <v>13.4</v>
      </c>
      <c r="F1026" s="242">
        <v>26</v>
      </c>
      <c r="G1026" s="243">
        <v>42.6</v>
      </c>
      <c r="H1026" s="241">
        <v>15.7</v>
      </c>
      <c r="I1026" s="242">
        <v>30.9</v>
      </c>
      <c r="J1026" s="243">
        <v>50.7</v>
      </c>
      <c r="K1026" s="241">
        <v>20.9</v>
      </c>
      <c r="L1026" s="242">
        <v>41.7</v>
      </c>
      <c r="M1026" s="243">
        <v>68.099999999999994</v>
      </c>
      <c r="N1026" s="241">
        <v>36.5</v>
      </c>
      <c r="O1026" s="242">
        <v>72.900000000000006</v>
      </c>
      <c r="P1026" s="243">
        <v>115</v>
      </c>
      <c r="Z1026" s="244">
        <f t="shared" si="46"/>
        <v>102.99999999999784</v>
      </c>
      <c r="AA1026" s="376">
        <f t="shared" si="47"/>
        <v>6.2432916247150687E-6</v>
      </c>
    </row>
    <row r="1027" spans="1:27">
      <c r="A1027" s="244">
        <f t="shared" si="45"/>
        <v>103.09999999999783</v>
      </c>
      <c r="B1027" s="241">
        <v>12</v>
      </c>
      <c r="C1027" s="242">
        <v>23</v>
      </c>
      <c r="D1027" s="243">
        <v>37.700000000000003</v>
      </c>
      <c r="E1027" s="241">
        <v>13.4</v>
      </c>
      <c r="F1027" s="242">
        <v>26</v>
      </c>
      <c r="G1027" s="243">
        <v>42.7</v>
      </c>
      <c r="H1027" s="241">
        <v>15.8</v>
      </c>
      <c r="I1027" s="242">
        <v>31</v>
      </c>
      <c r="J1027" s="243">
        <v>50.9</v>
      </c>
      <c r="K1027" s="241">
        <v>21</v>
      </c>
      <c r="L1027" s="242">
        <v>41.8</v>
      </c>
      <c r="M1027" s="243">
        <v>68.3</v>
      </c>
      <c r="N1027" s="241">
        <v>36.6</v>
      </c>
      <c r="O1027" s="242">
        <v>73.099999999999994</v>
      </c>
      <c r="P1027" s="243">
        <v>115.2</v>
      </c>
      <c r="Z1027" s="244">
        <f t="shared" si="46"/>
        <v>103.09999999999783</v>
      </c>
      <c r="AA1027" s="376">
        <f t="shared" si="47"/>
        <v>6.2266529396630977E-6</v>
      </c>
    </row>
    <row r="1028" spans="1:27">
      <c r="A1028" s="244">
        <f t="shared" si="45"/>
        <v>103.19999999999783</v>
      </c>
      <c r="B1028" s="241">
        <v>12</v>
      </c>
      <c r="C1028" s="242">
        <v>23.1</v>
      </c>
      <c r="D1028" s="243">
        <v>37.799999999999997</v>
      </c>
      <c r="E1028" s="241">
        <v>13.5</v>
      </c>
      <c r="F1028" s="242">
        <v>26.1</v>
      </c>
      <c r="G1028" s="243">
        <v>42.8</v>
      </c>
      <c r="H1028" s="241">
        <v>15.8</v>
      </c>
      <c r="I1028" s="242">
        <v>31.1</v>
      </c>
      <c r="J1028" s="243">
        <v>51</v>
      </c>
      <c r="K1028" s="241">
        <v>21</v>
      </c>
      <c r="L1028" s="242">
        <v>41.9</v>
      </c>
      <c r="M1028" s="243">
        <v>68.400000000000006</v>
      </c>
      <c r="N1028" s="241">
        <v>36.700000000000003</v>
      </c>
      <c r="O1028" s="242">
        <v>73.2</v>
      </c>
      <c r="P1028" s="243">
        <v>115.4</v>
      </c>
      <c r="Z1028" s="244">
        <f t="shared" si="46"/>
        <v>103.19999999999783</v>
      </c>
      <c r="AA1028" s="376">
        <f t="shared" si="47"/>
        <v>6.2100746636909893E-6</v>
      </c>
    </row>
    <row r="1029" spans="1:27">
      <c r="A1029" s="244">
        <f t="shared" si="45"/>
        <v>103.29999999999782</v>
      </c>
      <c r="B1029" s="241">
        <v>12.1</v>
      </c>
      <c r="C1029" s="242">
        <v>23.1</v>
      </c>
      <c r="D1029" s="243">
        <v>37.799999999999997</v>
      </c>
      <c r="E1029" s="241">
        <v>13.5</v>
      </c>
      <c r="F1029" s="242">
        <v>26.2</v>
      </c>
      <c r="G1029" s="243">
        <v>42.9</v>
      </c>
      <c r="H1029" s="241">
        <v>15.9</v>
      </c>
      <c r="I1029" s="242">
        <v>31.2</v>
      </c>
      <c r="J1029" s="243">
        <v>51.1</v>
      </c>
      <c r="K1029" s="241">
        <v>21.1</v>
      </c>
      <c r="L1029" s="242">
        <v>42</v>
      </c>
      <c r="M1029" s="243">
        <v>68.5</v>
      </c>
      <c r="N1029" s="241">
        <v>36.9</v>
      </c>
      <c r="O1029" s="242">
        <v>73.400000000000006</v>
      </c>
      <c r="P1029" s="243">
        <v>115.6</v>
      </c>
      <c r="Z1029" s="244">
        <f t="shared" si="46"/>
        <v>103.29999999999782</v>
      </c>
      <c r="AA1029" s="376">
        <f t="shared" si="47"/>
        <v>6.1935565192575393E-6</v>
      </c>
    </row>
    <row r="1030" spans="1:27">
      <c r="A1030" s="244">
        <f t="shared" si="45"/>
        <v>103.39999999999782</v>
      </c>
      <c r="B1030" s="241">
        <v>12.1</v>
      </c>
      <c r="C1030" s="242">
        <v>23.2</v>
      </c>
      <c r="D1030" s="243">
        <v>37.9</v>
      </c>
      <c r="E1030" s="241">
        <v>13.5</v>
      </c>
      <c r="F1030" s="242">
        <v>26.2</v>
      </c>
      <c r="G1030" s="243">
        <v>43</v>
      </c>
      <c r="H1030" s="241">
        <v>15.9</v>
      </c>
      <c r="I1030" s="242">
        <v>31.2</v>
      </c>
      <c r="J1030" s="243">
        <v>51.2</v>
      </c>
      <c r="K1030" s="241">
        <v>21.2</v>
      </c>
      <c r="L1030" s="242">
        <v>42.1</v>
      </c>
      <c r="M1030" s="243">
        <v>68.7</v>
      </c>
      <c r="N1030" s="241">
        <v>37</v>
      </c>
      <c r="O1030" s="242">
        <v>73.599999999999994</v>
      </c>
      <c r="P1030" s="243">
        <v>115.8</v>
      </c>
      <c r="Z1030" s="244">
        <f t="shared" si="46"/>
        <v>103.39999999999782</v>
      </c>
      <c r="AA1030" s="376">
        <f t="shared" si="47"/>
        <v>6.1770982303636366E-6</v>
      </c>
    </row>
    <row r="1031" spans="1:27">
      <c r="A1031" s="244">
        <f t="shared" ref="A1031:A1094" si="48">A1030+0.1</f>
        <v>103.49999999999781</v>
      </c>
      <c r="B1031" s="241">
        <v>12.1</v>
      </c>
      <c r="C1031" s="242">
        <v>23.3</v>
      </c>
      <c r="D1031" s="243">
        <v>38</v>
      </c>
      <c r="E1031" s="241">
        <v>13.6</v>
      </c>
      <c r="F1031" s="242">
        <v>26.3</v>
      </c>
      <c r="G1031" s="243">
        <v>43</v>
      </c>
      <c r="H1031" s="241">
        <v>16</v>
      </c>
      <c r="I1031" s="242">
        <v>31.3</v>
      </c>
      <c r="J1031" s="243">
        <v>51.3</v>
      </c>
      <c r="K1031" s="241">
        <v>21.2</v>
      </c>
      <c r="L1031" s="242">
        <v>42.2</v>
      </c>
      <c r="M1031" s="243">
        <v>68.8</v>
      </c>
      <c r="N1031" s="241">
        <v>37.1</v>
      </c>
      <c r="O1031" s="242">
        <v>73.7</v>
      </c>
      <c r="P1031" s="243">
        <v>116</v>
      </c>
      <c r="Z1031" s="244">
        <f t="shared" ref="Z1031:Z1094" si="49">Z1030+0.1</f>
        <v>103.49999999999781</v>
      </c>
      <c r="AA1031" s="376">
        <f t="shared" ref="AA1031:AA1094" si="50">T_gal(Z1031)</f>
        <v>6.160699522542195E-6</v>
      </c>
    </row>
    <row r="1032" spans="1:27">
      <c r="A1032" s="244">
        <f t="shared" si="48"/>
        <v>103.59999999999781</v>
      </c>
      <c r="B1032" s="241">
        <v>12.2</v>
      </c>
      <c r="C1032" s="242">
        <v>23.3</v>
      </c>
      <c r="D1032" s="243">
        <v>38.1</v>
      </c>
      <c r="E1032" s="241">
        <v>13.6</v>
      </c>
      <c r="F1032" s="242">
        <v>26.4</v>
      </c>
      <c r="G1032" s="243">
        <v>43.1</v>
      </c>
      <c r="H1032" s="241">
        <v>16</v>
      </c>
      <c r="I1032" s="242">
        <v>31.4</v>
      </c>
      <c r="J1032" s="243">
        <v>51.4</v>
      </c>
      <c r="K1032" s="241">
        <v>21.3</v>
      </c>
      <c r="L1032" s="242">
        <v>42.3</v>
      </c>
      <c r="M1032" s="243">
        <v>68.900000000000006</v>
      </c>
      <c r="N1032" s="241">
        <v>37.200000000000003</v>
      </c>
      <c r="O1032" s="242">
        <v>73.900000000000006</v>
      </c>
      <c r="P1032" s="243">
        <v>116.2</v>
      </c>
      <c r="Z1032" s="244">
        <f t="shared" si="49"/>
        <v>103.59999999999781</v>
      </c>
      <c r="AA1032" s="376">
        <f t="shared" si="50"/>
        <v>6.1443601228481891E-6</v>
      </c>
    </row>
    <row r="1033" spans="1:27">
      <c r="A1033" s="244">
        <f t="shared" si="48"/>
        <v>103.6999999999978</v>
      </c>
      <c r="B1033" s="241">
        <v>12.2</v>
      </c>
      <c r="C1033" s="242">
        <v>23.4</v>
      </c>
      <c r="D1033" s="243">
        <v>38.200000000000003</v>
      </c>
      <c r="E1033" s="241">
        <v>13.7</v>
      </c>
      <c r="F1033" s="242">
        <v>26.4</v>
      </c>
      <c r="G1033" s="243">
        <v>43.2</v>
      </c>
      <c r="H1033" s="241">
        <v>16.100000000000001</v>
      </c>
      <c r="I1033" s="242">
        <v>31.5</v>
      </c>
      <c r="J1033" s="243">
        <v>51.5</v>
      </c>
      <c r="K1033" s="241">
        <v>21.4</v>
      </c>
      <c r="L1033" s="242">
        <v>42.5</v>
      </c>
      <c r="M1033" s="243">
        <v>69.099999999999994</v>
      </c>
      <c r="N1033" s="241">
        <v>37.4</v>
      </c>
      <c r="O1033" s="242">
        <v>74.099999999999994</v>
      </c>
      <c r="P1033" s="243">
        <v>116.5</v>
      </c>
      <c r="Z1033" s="244">
        <f t="shared" si="49"/>
        <v>103.6999999999978</v>
      </c>
      <c r="AA1033" s="376">
        <f t="shared" si="50"/>
        <v>6.1280797598487573E-6</v>
      </c>
    </row>
    <row r="1034" spans="1:27">
      <c r="A1034" s="244">
        <f t="shared" si="48"/>
        <v>103.79999999999779</v>
      </c>
      <c r="B1034" s="241">
        <v>12.3</v>
      </c>
      <c r="C1034" s="242">
        <v>23.4</v>
      </c>
      <c r="D1034" s="243">
        <v>38.200000000000003</v>
      </c>
      <c r="E1034" s="241">
        <v>13.7</v>
      </c>
      <c r="F1034" s="242">
        <v>26.5</v>
      </c>
      <c r="G1034" s="243">
        <v>43.3</v>
      </c>
      <c r="H1034" s="241">
        <v>16.100000000000001</v>
      </c>
      <c r="I1034" s="242">
        <v>31.5</v>
      </c>
      <c r="J1034" s="243">
        <v>51.6</v>
      </c>
      <c r="K1034" s="241">
        <v>21.4</v>
      </c>
      <c r="L1034" s="242">
        <v>42.6</v>
      </c>
      <c r="M1034" s="243">
        <v>69.2</v>
      </c>
      <c r="N1034" s="241">
        <v>37.5</v>
      </c>
      <c r="O1034" s="242">
        <v>74.3</v>
      </c>
      <c r="P1034" s="243">
        <v>116.7</v>
      </c>
      <c r="Z1034" s="244">
        <f t="shared" si="49"/>
        <v>103.79999999999779</v>
      </c>
      <c r="AA1034" s="376">
        <f t="shared" si="50"/>
        <v>6.1118581636133635E-6</v>
      </c>
    </row>
    <row r="1035" spans="1:27">
      <c r="A1035" s="244">
        <f t="shared" si="48"/>
        <v>103.89999999999779</v>
      </c>
      <c r="B1035" s="241">
        <v>12.3</v>
      </c>
      <c r="C1035" s="242">
        <v>23.5</v>
      </c>
      <c r="D1035" s="243">
        <v>38.299999999999997</v>
      </c>
      <c r="E1035" s="241">
        <v>13.8</v>
      </c>
      <c r="F1035" s="242">
        <v>26.6</v>
      </c>
      <c r="G1035" s="243">
        <v>43.4</v>
      </c>
      <c r="H1035" s="241">
        <v>16.2</v>
      </c>
      <c r="I1035" s="242">
        <v>31.6</v>
      </c>
      <c r="J1035" s="243">
        <v>51.7</v>
      </c>
      <c r="K1035" s="241">
        <v>21.5</v>
      </c>
      <c r="L1035" s="242">
        <v>42.7</v>
      </c>
      <c r="M1035" s="243">
        <v>69.400000000000006</v>
      </c>
      <c r="N1035" s="241">
        <v>37.6</v>
      </c>
      <c r="O1035" s="242">
        <v>74.5</v>
      </c>
      <c r="P1035" s="243">
        <v>116.9</v>
      </c>
      <c r="Z1035" s="244">
        <f t="shared" si="49"/>
        <v>103.89999999999779</v>
      </c>
      <c r="AA1035" s="376">
        <f t="shared" si="50"/>
        <v>6.0956950657040615E-6</v>
      </c>
    </row>
    <row r="1036" spans="1:27">
      <c r="A1036" s="244">
        <f t="shared" si="48"/>
        <v>103.99999999999778</v>
      </c>
      <c r="B1036" s="241">
        <v>12.3</v>
      </c>
      <c r="C1036" s="242">
        <v>23.5</v>
      </c>
      <c r="D1036" s="243">
        <v>38.4</v>
      </c>
      <c r="E1036" s="241">
        <v>13.8</v>
      </c>
      <c r="F1036" s="242">
        <v>26.6</v>
      </c>
      <c r="G1036" s="243">
        <v>43.5</v>
      </c>
      <c r="H1036" s="241">
        <v>16.2</v>
      </c>
      <c r="I1036" s="242">
        <v>31.7</v>
      </c>
      <c r="J1036" s="243">
        <v>51.8</v>
      </c>
      <c r="K1036" s="241">
        <v>21.6</v>
      </c>
      <c r="L1036" s="242">
        <v>42.8</v>
      </c>
      <c r="M1036" s="243">
        <v>69.5</v>
      </c>
      <c r="N1036" s="241">
        <v>37.799999999999997</v>
      </c>
      <c r="O1036" s="242">
        <v>74.599999999999994</v>
      </c>
      <c r="P1036" s="243">
        <v>117.1</v>
      </c>
      <c r="Z1036" s="244">
        <f t="shared" si="49"/>
        <v>103.99999999999778</v>
      </c>
      <c r="AA1036" s="376">
        <f t="shared" si="50"/>
        <v>6.0795901991658058E-6</v>
      </c>
    </row>
    <row r="1037" spans="1:27">
      <c r="A1037" s="244">
        <f t="shared" si="48"/>
        <v>104.09999999999778</v>
      </c>
      <c r="B1037" s="241">
        <v>12.4</v>
      </c>
      <c r="C1037" s="242">
        <v>23.6</v>
      </c>
      <c r="D1037" s="243">
        <v>38.5</v>
      </c>
      <c r="E1037" s="241">
        <v>13.9</v>
      </c>
      <c r="F1037" s="242">
        <v>26.7</v>
      </c>
      <c r="G1037" s="243">
        <v>43.6</v>
      </c>
      <c r="H1037" s="241">
        <v>16.3</v>
      </c>
      <c r="I1037" s="242">
        <v>31.8</v>
      </c>
      <c r="J1037" s="243">
        <v>51.9</v>
      </c>
      <c r="K1037" s="241">
        <v>21.7</v>
      </c>
      <c r="L1037" s="242">
        <v>42.9</v>
      </c>
      <c r="M1037" s="243">
        <v>69.7</v>
      </c>
      <c r="N1037" s="241">
        <v>37.9</v>
      </c>
      <c r="O1037" s="242">
        <v>74.8</v>
      </c>
      <c r="P1037" s="243">
        <v>117.3</v>
      </c>
      <c r="Z1037" s="244">
        <f t="shared" si="49"/>
        <v>104.09999999999778</v>
      </c>
      <c r="AA1037" s="376">
        <f t="shared" si="50"/>
        <v>6.0635432985168449E-6</v>
      </c>
    </row>
    <row r="1038" spans="1:27">
      <c r="A1038" s="244">
        <f t="shared" si="48"/>
        <v>104.19999999999777</v>
      </c>
      <c r="B1038" s="241">
        <v>12.4</v>
      </c>
      <c r="C1038" s="242">
        <v>23.7</v>
      </c>
      <c r="D1038" s="243">
        <v>38.6</v>
      </c>
      <c r="E1038" s="241">
        <v>13.9</v>
      </c>
      <c r="F1038" s="242">
        <v>26.8</v>
      </c>
      <c r="G1038" s="243">
        <v>43.7</v>
      </c>
      <c r="H1038" s="241">
        <v>16.3</v>
      </c>
      <c r="I1038" s="242">
        <v>31.9</v>
      </c>
      <c r="J1038" s="243">
        <v>52.1</v>
      </c>
      <c r="K1038" s="241">
        <v>21.8</v>
      </c>
      <c r="L1038" s="242">
        <v>43</v>
      </c>
      <c r="M1038" s="243">
        <v>69.8</v>
      </c>
      <c r="N1038" s="241">
        <v>38.1</v>
      </c>
      <c r="O1038" s="242">
        <v>75</v>
      </c>
      <c r="P1038" s="243">
        <v>117.6</v>
      </c>
      <c r="Z1038" s="244">
        <f t="shared" si="49"/>
        <v>104.19999999999777</v>
      </c>
      <c r="AA1038" s="376">
        <f t="shared" si="50"/>
        <v>6.047554099739187E-6</v>
      </c>
    </row>
    <row r="1039" spans="1:27">
      <c r="A1039" s="244">
        <f t="shared" si="48"/>
        <v>104.29999999999777</v>
      </c>
      <c r="B1039" s="241">
        <v>12.5</v>
      </c>
      <c r="C1039" s="242">
        <v>23.7</v>
      </c>
      <c r="D1039" s="243">
        <v>38.700000000000003</v>
      </c>
      <c r="E1039" s="241">
        <v>14</v>
      </c>
      <c r="F1039" s="242">
        <v>26.8</v>
      </c>
      <c r="G1039" s="243">
        <v>43.8</v>
      </c>
      <c r="H1039" s="241">
        <v>16.399999999999999</v>
      </c>
      <c r="I1039" s="242">
        <v>32</v>
      </c>
      <c r="J1039" s="243">
        <v>52.2</v>
      </c>
      <c r="K1039" s="241">
        <v>21.9</v>
      </c>
      <c r="L1039" s="242">
        <v>43.1</v>
      </c>
      <c r="M1039" s="243">
        <v>70</v>
      </c>
      <c r="N1039" s="241">
        <v>38.200000000000003</v>
      </c>
      <c r="O1039" s="242">
        <v>75.2</v>
      </c>
      <c r="P1039" s="243">
        <v>117.8</v>
      </c>
      <c r="Z1039" s="244">
        <f t="shared" si="49"/>
        <v>104.29999999999777</v>
      </c>
      <c r="AA1039" s="376">
        <f t="shared" si="50"/>
        <v>6.0316223402691398E-6</v>
      </c>
    </row>
    <row r="1040" spans="1:27">
      <c r="A1040" s="244">
        <f t="shared" si="48"/>
        <v>104.39999999999776</v>
      </c>
      <c r="B1040" s="241">
        <v>12.5</v>
      </c>
      <c r="C1040" s="242">
        <v>23.8</v>
      </c>
      <c r="D1040" s="243">
        <v>38.799999999999997</v>
      </c>
      <c r="E1040" s="241">
        <v>14</v>
      </c>
      <c r="F1040" s="242">
        <v>26.9</v>
      </c>
      <c r="G1040" s="243">
        <v>43.9</v>
      </c>
      <c r="H1040" s="241">
        <v>16.5</v>
      </c>
      <c r="I1040" s="242">
        <v>32</v>
      </c>
      <c r="J1040" s="243">
        <v>52.3</v>
      </c>
      <c r="K1040" s="241">
        <v>21.9</v>
      </c>
      <c r="L1040" s="242">
        <v>43.2</v>
      </c>
      <c r="M1040" s="243">
        <v>70.099999999999994</v>
      </c>
      <c r="N1040" s="241">
        <v>38.4</v>
      </c>
      <c r="O1040" s="242">
        <v>75.400000000000006</v>
      </c>
      <c r="P1040" s="243">
        <v>118</v>
      </c>
      <c r="Z1040" s="244">
        <f t="shared" si="49"/>
        <v>104.39999999999776</v>
      </c>
      <c r="AA1040" s="376">
        <f t="shared" si="50"/>
        <v>6.0157477589879103E-6</v>
      </c>
    </row>
    <row r="1041" spans="1:27">
      <c r="A1041" s="244">
        <f t="shared" si="48"/>
        <v>104.49999999999775</v>
      </c>
      <c r="B1041" s="241">
        <v>12.6</v>
      </c>
      <c r="C1041" s="242">
        <v>23.9</v>
      </c>
      <c r="D1041" s="243">
        <v>38.9</v>
      </c>
      <c r="E1041" s="241">
        <v>14.1</v>
      </c>
      <c r="F1041" s="242">
        <v>27</v>
      </c>
      <c r="G1041" s="243">
        <v>44</v>
      </c>
      <c r="H1041" s="241">
        <v>16.5</v>
      </c>
      <c r="I1041" s="242">
        <v>32.1</v>
      </c>
      <c r="J1041" s="243">
        <v>52.4</v>
      </c>
      <c r="K1041" s="241">
        <v>22</v>
      </c>
      <c r="L1041" s="242">
        <v>43.4</v>
      </c>
      <c r="M1041" s="243">
        <v>70.3</v>
      </c>
      <c r="N1041" s="241">
        <v>38.6</v>
      </c>
      <c r="O1041" s="242">
        <v>75.599999999999994</v>
      </c>
      <c r="P1041" s="243">
        <v>118.2</v>
      </c>
      <c r="Z1041" s="244">
        <f t="shared" si="49"/>
        <v>104.49999999999775</v>
      </c>
      <c r="AA1041" s="376">
        <f t="shared" si="50"/>
        <v>5.9999300962122705E-6</v>
      </c>
    </row>
    <row r="1042" spans="1:27">
      <c r="A1042" s="244">
        <f t="shared" si="48"/>
        <v>104.59999999999775</v>
      </c>
      <c r="B1042" s="241">
        <v>12.6</v>
      </c>
      <c r="C1042" s="242">
        <v>23.9</v>
      </c>
      <c r="D1042" s="243">
        <v>38.9</v>
      </c>
      <c r="E1042" s="241">
        <v>14.1</v>
      </c>
      <c r="F1042" s="242">
        <v>27.1</v>
      </c>
      <c r="G1042" s="243">
        <v>44.1</v>
      </c>
      <c r="H1042" s="241">
        <v>16.600000000000001</v>
      </c>
      <c r="I1042" s="242">
        <v>32.200000000000003</v>
      </c>
      <c r="J1042" s="243">
        <v>52.5</v>
      </c>
      <c r="K1042" s="241">
        <v>22.1</v>
      </c>
      <c r="L1042" s="242">
        <v>43.5</v>
      </c>
      <c r="M1042" s="243">
        <v>70.400000000000006</v>
      </c>
      <c r="N1042" s="241">
        <v>38.700000000000003</v>
      </c>
      <c r="O1042" s="242">
        <v>75.8</v>
      </c>
      <c r="P1042" s="243">
        <v>118.5</v>
      </c>
      <c r="Z1042" s="244">
        <f t="shared" si="49"/>
        <v>104.59999999999775</v>
      </c>
      <c r="AA1042" s="376">
        <f t="shared" si="50"/>
        <v>5.9841690936853249E-6</v>
      </c>
    </row>
    <row r="1043" spans="1:27">
      <c r="A1043" s="244">
        <f t="shared" si="48"/>
        <v>104.69999999999774</v>
      </c>
      <c r="B1043" s="241">
        <v>12.7</v>
      </c>
      <c r="C1043" s="242">
        <v>24</v>
      </c>
      <c r="D1043" s="243">
        <v>39</v>
      </c>
      <c r="E1043" s="241">
        <v>14.2</v>
      </c>
      <c r="F1043" s="242">
        <v>27.1</v>
      </c>
      <c r="G1043" s="243">
        <v>44.2</v>
      </c>
      <c r="H1043" s="241">
        <v>16.7</v>
      </c>
      <c r="I1043" s="242">
        <v>32.299999999999997</v>
      </c>
      <c r="J1043" s="243">
        <v>52.7</v>
      </c>
      <c r="K1043" s="241">
        <v>22.2</v>
      </c>
      <c r="L1043" s="242">
        <v>43.6</v>
      </c>
      <c r="M1043" s="243">
        <v>70.599999999999994</v>
      </c>
      <c r="N1043" s="241">
        <v>38.9</v>
      </c>
      <c r="O1043" s="242">
        <v>76</v>
      </c>
      <c r="P1043" s="243">
        <v>118.7</v>
      </c>
      <c r="Z1043" s="244">
        <f t="shared" si="49"/>
        <v>104.69999999999774</v>
      </c>
      <c r="AA1043" s="376">
        <f t="shared" si="50"/>
        <v>5.968464494567301E-6</v>
      </c>
    </row>
    <row r="1044" spans="1:27">
      <c r="A1044" s="244">
        <f t="shared" si="48"/>
        <v>104.79999999999774</v>
      </c>
      <c r="B1044" s="241">
        <v>12.7</v>
      </c>
      <c r="C1044" s="242">
        <v>24.1</v>
      </c>
      <c r="D1044" s="243">
        <v>39.1</v>
      </c>
      <c r="E1044" s="241">
        <v>14.2</v>
      </c>
      <c r="F1044" s="242">
        <v>27.2</v>
      </c>
      <c r="G1044" s="243">
        <v>44.3</v>
      </c>
      <c r="H1044" s="241">
        <v>16.7</v>
      </c>
      <c r="I1044" s="242">
        <v>32.4</v>
      </c>
      <c r="J1044" s="243">
        <v>52.8</v>
      </c>
      <c r="K1044" s="241">
        <v>22.3</v>
      </c>
      <c r="L1044" s="242">
        <v>43.7</v>
      </c>
      <c r="M1044" s="243">
        <v>70.8</v>
      </c>
      <c r="N1044" s="241">
        <v>39.1</v>
      </c>
      <c r="O1044" s="242">
        <v>76.2</v>
      </c>
      <c r="P1044" s="243">
        <v>119</v>
      </c>
      <c r="Z1044" s="244">
        <f t="shared" si="49"/>
        <v>104.79999999999774</v>
      </c>
      <c r="AA1044" s="376">
        <f t="shared" si="50"/>
        <v>5.9528160434264386E-6</v>
      </c>
    </row>
    <row r="1045" spans="1:27">
      <c r="A1045" s="244">
        <f t="shared" si="48"/>
        <v>104.89999999999773</v>
      </c>
      <c r="B1045" s="241">
        <v>12.8</v>
      </c>
      <c r="C1045" s="242">
        <v>24.1</v>
      </c>
      <c r="D1045" s="243">
        <v>39.200000000000003</v>
      </c>
      <c r="E1045" s="241">
        <v>14.3</v>
      </c>
      <c r="F1045" s="242">
        <v>27.3</v>
      </c>
      <c r="G1045" s="243">
        <v>44.4</v>
      </c>
      <c r="H1045" s="241">
        <v>16.8</v>
      </c>
      <c r="I1045" s="242">
        <v>32.5</v>
      </c>
      <c r="J1045" s="243">
        <v>52.9</v>
      </c>
      <c r="K1045" s="241">
        <v>22.4</v>
      </c>
      <c r="L1045" s="242">
        <v>43.9</v>
      </c>
      <c r="M1045" s="243">
        <v>70.900000000000006</v>
      </c>
      <c r="N1045" s="241">
        <v>39.200000000000003</v>
      </c>
      <c r="O1045" s="242">
        <v>76.400000000000006</v>
      </c>
      <c r="P1045" s="243">
        <v>119.2</v>
      </c>
      <c r="Z1045" s="244">
        <f t="shared" si="49"/>
        <v>104.89999999999773</v>
      </c>
      <c r="AA1045" s="376">
        <f t="shared" si="50"/>
        <v>5.9372234862299325E-6</v>
      </c>
    </row>
    <row r="1046" spans="1:27">
      <c r="A1046" s="244">
        <f t="shared" si="48"/>
        <v>104.99999999999773</v>
      </c>
      <c r="B1046" s="241">
        <v>12.8</v>
      </c>
      <c r="C1046" s="242">
        <v>24.2</v>
      </c>
      <c r="D1046" s="243">
        <v>39.299999999999997</v>
      </c>
      <c r="E1046" s="241">
        <v>14.4</v>
      </c>
      <c r="F1046" s="242">
        <v>27.4</v>
      </c>
      <c r="G1046" s="243">
        <v>44.5</v>
      </c>
      <c r="H1046" s="241">
        <v>16.899999999999999</v>
      </c>
      <c r="I1046" s="242">
        <v>32.6</v>
      </c>
      <c r="J1046" s="243">
        <v>53</v>
      </c>
      <c r="K1046" s="241">
        <v>22.5</v>
      </c>
      <c r="L1046" s="242">
        <v>44</v>
      </c>
      <c r="M1046" s="243">
        <v>71.099999999999994</v>
      </c>
      <c r="N1046" s="241">
        <v>39.4</v>
      </c>
      <c r="O1046" s="242">
        <v>76.7</v>
      </c>
      <c r="P1046" s="243">
        <v>119.4</v>
      </c>
      <c r="Z1046" s="244">
        <f t="shared" si="49"/>
        <v>104.99999999999773</v>
      </c>
      <c r="AA1046" s="376">
        <f t="shared" si="50"/>
        <v>5.9216865703349564E-6</v>
      </c>
    </row>
    <row r="1047" spans="1:27">
      <c r="A1047" s="244">
        <f t="shared" si="48"/>
        <v>105.09999999999772</v>
      </c>
      <c r="B1047" s="241">
        <v>12.9</v>
      </c>
      <c r="C1047" s="242">
        <v>24.3</v>
      </c>
      <c r="D1047" s="243">
        <v>39.4</v>
      </c>
      <c r="E1047" s="241">
        <v>14.4</v>
      </c>
      <c r="F1047" s="242">
        <v>27.5</v>
      </c>
      <c r="G1047" s="243">
        <v>44.6</v>
      </c>
      <c r="H1047" s="241">
        <v>17</v>
      </c>
      <c r="I1047" s="242">
        <v>32.700000000000003</v>
      </c>
      <c r="J1047" s="243">
        <v>53.2</v>
      </c>
      <c r="K1047" s="241">
        <v>22.6</v>
      </c>
      <c r="L1047" s="242">
        <v>44.1</v>
      </c>
      <c r="M1047" s="243">
        <v>71.3</v>
      </c>
      <c r="N1047" s="241">
        <v>39.6</v>
      </c>
      <c r="O1047" s="242">
        <v>76.900000000000006</v>
      </c>
      <c r="P1047" s="243">
        <v>119.7</v>
      </c>
      <c r="Z1047" s="244">
        <f t="shared" si="49"/>
        <v>105.09999999999772</v>
      </c>
      <c r="AA1047" s="376">
        <f t="shared" si="50"/>
        <v>5.9062050444797319E-6</v>
      </c>
    </row>
    <row r="1048" spans="1:27">
      <c r="A1048" s="244">
        <f t="shared" si="48"/>
        <v>105.19999999999771</v>
      </c>
      <c r="B1048" s="241">
        <v>12.9</v>
      </c>
      <c r="C1048" s="242">
        <v>24.4</v>
      </c>
      <c r="D1048" s="243">
        <v>39.5</v>
      </c>
      <c r="E1048" s="241">
        <v>14.5</v>
      </c>
      <c r="F1048" s="242">
        <v>27.5</v>
      </c>
      <c r="G1048" s="243">
        <v>44.8</v>
      </c>
      <c r="H1048" s="241">
        <v>17</v>
      </c>
      <c r="I1048" s="242">
        <v>32.799999999999997</v>
      </c>
      <c r="J1048" s="243">
        <v>53.3</v>
      </c>
      <c r="K1048" s="241">
        <v>22.7</v>
      </c>
      <c r="L1048" s="242">
        <v>44.3</v>
      </c>
      <c r="M1048" s="243">
        <v>71.400000000000006</v>
      </c>
      <c r="N1048" s="241">
        <v>39.799999999999997</v>
      </c>
      <c r="O1048" s="242">
        <v>77.099999999999994</v>
      </c>
      <c r="P1048" s="243">
        <v>119.9</v>
      </c>
      <c r="Z1048" s="244">
        <f t="shared" si="49"/>
        <v>105.19999999999771</v>
      </c>
      <c r="AA1048" s="376">
        <f t="shared" si="50"/>
        <v>5.8907786587746826E-6</v>
      </c>
    </row>
    <row r="1049" spans="1:27">
      <c r="A1049" s="244">
        <f t="shared" si="48"/>
        <v>105.29999999999771</v>
      </c>
      <c r="B1049" s="241">
        <v>13</v>
      </c>
      <c r="C1049" s="242">
        <v>24.4</v>
      </c>
      <c r="D1049" s="243">
        <v>39.6</v>
      </c>
      <c r="E1049" s="241">
        <v>14.5</v>
      </c>
      <c r="F1049" s="242">
        <v>27.6</v>
      </c>
      <c r="G1049" s="243">
        <v>44.9</v>
      </c>
      <c r="H1049" s="241">
        <v>17.100000000000001</v>
      </c>
      <c r="I1049" s="242">
        <v>32.9</v>
      </c>
      <c r="J1049" s="243">
        <v>53.4</v>
      </c>
      <c r="K1049" s="241">
        <v>22.8</v>
      </c>
      <c r="L1049" s="242">
        <v>44.4</v>
      </c>
      <c r="M1049" s="243">
        <v>71.599999999999994</v>
      </c>
      <c r="N1049" s="241">
        <v>40</v>
      </c>
      <c r="O1049" s="242">
        <v>77.3</v>
      </c>
      <c r="P1049" s="243">
        <v>120.2</v>
      </c>
      <c r="Z1049" s="244">
        <f t="shared" si="49"/>
        <v>105.29999999999771</v>
      </c>
      <c r="AA1049" s="376">
        <f t="shared" si="50"/>
        <v>5.8754071646936368E-6</v>
      </c>
    </row>
    <row r="1050" spans="1:27">
      <c r="A1050" s="244">
        <f t="shared" si="48"/>
        <v>105.3999999999977</v>
      </c>
      <c r="B1050" s="241">
        <v>13</v>
      </c>
      <c r="C1050" s="242">
        <v>24.5</v>
      </c>
      <c r="D1050" s="243">
        <v>39.700000000000003</v>
      </c>
      <c r="E1050" s="241">
        <v>14.6</v>
      </c>
      <c r="F1050" s="242">
        <v>27.7</v>
      </c>
      <c r="G1050" s="243">
        <v>45</v>
      </c>
      <c r="H1050" s="241">
        <v>17.2</v>
      </c>
      <c r="I1050" s="242">
        <v>33</v>
      </c>
      <c r="J1050" s="243">
        <v>53.6</v>
      </c>
      <c r="K1050" s="241">
        <v>22.9</v>
      </c>
      <c r="L1050" s="242">
        <v>44.5</v>
      </c>
      <c r="M1050" s="243">
        <v>71.8</v>
      </c>
      <c r="N1050" s="241">
        <v>40.200000000000003</v>
      </c>
      <c r="O1050" s="242">
        <v>77.599999999999994</v>
      </c>
      <c r="P1050" s="243">
        <v>120.5</v>
      </c>
      <c r="Z1050" s="244">
        <f t="shared" si="49"/>
        <v>105.3999999999977</v>
      </c>
      <c r="AA1050" s="376">
        <f t="shared" si="50"/>
        <v>5.8600903150651179E-6</v>
      </c>
    </row>
    <row r="1051" spans="1:27">
      <c r="A1051" s="244">
        <f t="shared" si="48"/>
        <v>105.4999999999977</v>
      </c>
      <c r="B1051" s="241">
        <v>13.1</v>
      </c>
      <c r="C1051" s="242">
        <v>24.6</v>
      </c>
      <c r="D1051" s="243">
        <v>39.799999999999997</v>
      </c>
      <c r="E1051" s="241">
        <v>14.7</v>
      </c>
      <c r="F1051" s="242">
        <v>27.8</v>
      </c>
      <c r="G1051" s="243">
        <v>45.1</v>
      </c>
      <c r="H1051" s="241">
        <v>17.3</v>
      </c>
      <c r="I1051" s="242">
        <v>33.1</v>
      </c>
      <c r="J1051" s="243">
        <v>53.7</v>
      </c>
      <c r="K1051" s="241">
        <v>23.1</v>
      </c>
      <c r="L1051" s="242">
        <v>44.7</v>
      </c>
      <c r="M1051" s="243">
        <v>72</v>
      </c>
      <c r="N1051" s="241">
        <v>40.4</v>
      </c>
      <c r="O1051" s="242">
        <v>77.8</v>
      </c>
      <c r="P1051" s="243">
        <v>120.7</v>
      </c>
      <c r="Z1051" s="244">
        <f t="shared" si="49"/>
        <v>105.4999999999977</v>
      </c>
      <c r="AA1051" s="376">
        <f t="shared" si="50"/>
        <v>5.8448278640636662E-6</v>
      </c>
    </row>
    <row r="1052" spans="1:27">
      <c r="A1052" s="244">
        <f t="shared" si="48"/>
        <v>105.59999999999769</v>
      </c>
      <c r="B1052" s="241">
        <v>13.2</v>
      </c>
      <c r="C1052" s="242">
        <v>24.7</v>
      </c>
      <c r="D1052" s="243">
        <v>39.9</v>
      </c>
      <c r="E1052" s="241">
        <v>14.7</v>
      </c>
      <c r="F1052" s="242">
        <v>27.9</v>
      </c>
      <c r="G1052" s="243">
        <v>45.2</v>
      </c>
      <c r="H1052" s="241">
        <v>17.399999999999999</v>
      </c>
      <c r="I1052" s="242">
        <v>33.200000000000003</v>
      </c>
      <c r="J1052" s="243">
        <v>53.8</v>
      </c>
      <c r="K1052" s="241">
        <v>23.2</v>
      </c>
      <c r="L1052" s="242">
        <v>44.8</v>
      </c>
      <c r="M1052" s="243">
        <v>72.099999999999994</v>
      </c>
      <c r="N1052" s="241">
        <v>40.6</v>
      </c>
      <c r="O1052" s="242">
        <v>78</v>
      </c>
      <c r="P1052" s="243">
        <v>121</v>
      </c>
      <c r="Z1052" s="244">
        <f t="shared" si="49"/>
        <v>105.59999999999769</v>
      </c>
      <c r="AA1052" s="376">
        <f t="shared" si="50"/>
        <v>5.8296195672012537E-6</v>
      </c>
    </row>
    <row r="1053" spans="1:27">
      <c r="A1053" s="244">
        <f t="shared" si="48"/>
        <v>105.69999999999769</v>
      </c>
      <c r="B1053" s="241">
        <v>13.2</v>
      </c>
      <c r="C1053" s="242">
        <v>24.7</v>
      </c>
      <c r="D1053" s="243">
        <v>40</v>
      </c>
      <c r="E1053" s="241">
        <v>14.8</v>
      </c>
      <c r="F1053" s="242">
        <v>28</v>
      </c>
      <c r="G1053" s="243">
        <v>45.3</v>
      </c>
      <c r="H1053" s="241">
        <v>17.5</v>
      </c>
      <c r="I1053" s="242">
        <v>33.299999999999997</v>
      </c>
      <c r="J1053" s="243">
        <v>54</v>
      </c>
      <c r="K1053" s="241">
        <v>23.3</v>
      </c>
      <c r="L1053" s="242">
        <v>45</v>
      </c>
      <c r="M1053" s="243">
        <v>72.3</v>
      </c>
      <c r="N1053" s="241">
        <v>40.799999999999997</v>
      </c>
      <c r="O1053" s="242">
        <v>78.3</v>
      </c>
      <c r="P1053" s="243">
        <v>121.2</v>
      </c>
      <c r="Z1053" s="244">
        <f t="shared" si="49"/>
        <v>105.69999999999769</v>
      </c>
      <c r="AA1053" s="376">
        <f t="shared" si="50"/>
        <v>5.8144651813187493E-6</v>
      </c>
    </row>
    <row r="1054" spans="1:27">
      <c r="A1054" s="244">
        <f t="shared" si="48"/>
        <v>105.79999999999768</v>
      </c>
      <c r="B1054" s="241">
        <v>13.3</v>
      </c>
      <c r="C1054" s="242">
        <v>24.8</v>
      </c>
      <c r="D1054" s="243">
        <v>40.1</v>
      </c>
      <c r="E1054" s="241">
        <v>14.9</v>
      </c>
      <c r="F1054" s="242">
        <v>28.1</v>
      </c>
      <c r="G1054" s="243">
        <v>45.4</v>
      </c>
      <c r="H1054" s="241">
        <v>17.600000000000001</v>
      </c>
      <c r="I1054" s="242">
        <v>33.4</v>
      </c>
      <c r="J1054" s="243">
        <v>54.1</v>
      </c>
      <c r="K1054" s="241">
        <v>23.4</v>
      </c>
      <c r="L1054" s="242">
        <v>45.1</v>
      </c>
      <c r="M1054" s="243">
        <v>72.5</v>
      </c>
      <c r="N1054" s="241">
        <v>41</v>
      </c>
      <c r="O1054" s="242">
        <v>78.5</v>
      </c>
      <c r="P1054" s="243">
        <v>121.5</v>
      </c>
      <c r="Z1054" s="244">
        <f t="shared" si="49"/>
        <v>105.79999999999768</v>
      </c>
      <c r="AA1054" s="376">
        <f t="shared" si="50"/>
        <v>5.7993644645774433E-6</v>
      </c>
    </row>
    <row r="1055" spans="1:27">
      <c r="A1055" s="244">
        <f t="shared" si="48"/>
        <v>105.89999999999768</v>
      </c>
      <c r="B1055" s="241">
        <v>13.4</v>
      </c>
      <c r="C1055" s="242">
        <v>24.9</v>
      </c>
      <c r="D1055" s="243">
        <v>40.200000000000003</v>
      </c>
      <c r="E1055" s="241">
        <v>15</v>
      </c>
      <c r="F1055" s="242">
        <v>28.2</v>
      </c>
      <c r="G1055" s="243">
        <v>45.6</v>
      </c>
      <c r="H1055" s="241">
        <v>17.600000000000001</v>
      </c>
      <c r="I1055" s="242">
        <v>33.6</v>
      </c>
      <c r="J1055" s="243">
        <v>54.2</v>
      </c>
      <c r="K1055" s="241">
        <v>23.6</v>
      </c>
      <c r="L1055" s="242">
        <v>45.3</v>
      </c>
      <c r="M1055" s="243">
        <v>72.7</v>
      </c>
      <c r="N1055" s="241">
        <v>41.3</v>
      </c>
      <c r="O1055" s="242">
        <v>78.8</v>
      </c>
      <c r="P1055" s="243">
        <v>121.8</v>
      </c>
      <c r="Z1055" s="244">
        <f t="shared" si="49"/>
        <v>105.89999999999768</v>
      </c>
      <c r="AA1055" s="376">
        <f t="shared" si="50"/>
        <v>5.784317176450643E-6</v>
      </c>
    </row>
    <row r="1056" spans="1:27">
      <c r="A1056" s="244">
        <f t="shared" si="48"/>
        <v>105.99999999999767</v>
      </c>
      <c r="B1056" s="241">
        <v>13.4</v>
      </c>
      <c r="C1056" s="242">
        <v>25</v>
      </c>
      <c r="D1056" s="243">
        <v>40.299999999999997</v>
      </c>
      <c r="E1056" s="241">
        <v>15.1</v>
      </c>
      <c r="F1056" s="242">
        <v>28.3</v>
      </c>
      <c r="G1056" s="243">
        <v>45.7</v>
      </c>
      <c r="H1056" s="241">
        <v>17.7</v>
      </c>
      <c r="I1056" s="242">
        <v>33.700000000000003</v>
      </c>
      <c r="J1056" s="243">
        <v>54.4</v>
      </c>
      <c r="K1056" s="241">
        <v>23.7</v>
      </c>
      <c r="L1056" s="242">
        <v>45.4</v>
      </c>
      <c r="M1056" s="243">
        <v>72.900000000000006</v>
      </c>
      <c r="N1056" s="241">
        <v>41.5</v>
      </c>
      <c r="O1056" s="242">
        <v>79</v>
      </c>
      <c r="P1056" s="243">
        <v>122.1</v>
      </c>
      <c r="Z1056" s="244">
        <f t="shared" si="49"/>
        <v>105.99999999999767</v>
      </c>
      <c r="AA1056" s="376">
        <f t="shared" si="50"/>
        <v>5.7693230777153199E-6</v>
      </c>
    </row>
    <row r="1057" spans="1:27">
      <c r="A1057" s="244">
        <f t="shared" si="48"/>
        <v>106.09999999999766</v>
      </c>
      <c r="B1057" s="241">
        <v>13.5</v>
      </c>
      <c r="C1057" s="242">
        <v>25.1</v>
      </c>
      <c r="D1057" s="243">
        <v>40.5</v>
      </c>
      <c r="E1057" s="241">
        <v>15.1</v>
      </c>
      <c r="F1057" s="242">
        <v>28.4</v>
      </c>
      <c r="G1057" s="243">
        <v>45.8</v>
      </c>
      <c r="H1057" s="241">
        <v>17.8</v>
      </c>
      <c r="I1057" s="242">
        <v>33.799999999999997</v>
      </c>
      <c r="J1057" s="243">
        <v>54.5</v>
      </c>
      <c r="K1057" s="241">
        <v>23.8</v>
      </c>
      <c r="L1057" s="242">
        <v>45.6</v>
      </c>
      <c r="M1057" s="243">
        <v>73.099999999999994</v>
      </c>
      <c r="N1057" s="241">
        <v>41.7</v>
      </c>
      <c r="O1057" s="242">
        <v>79.3</v>
      </c>
      <c r="P1057" s="243">
        <v>122.3</v>
      </c>
      <c r="Z1057" s="244">
        <f t="shared" si="49"/>
        <v>106.09999999999766</v>
      </c>
      <c r="AA1057" s="376">
        <f t="shared" si="50"/>
        <v>5.7543819304438273E-6</v>
      </c>
    </row>
    <row r="1058" spans="1:27">
      <c r="A1058" s="244">
        <f t="shared" si="48"/>
        <v>106.19999999999766</v>
      </c>
      <c r="B1058" s="241">
        <v>13.6</v>
      </c>
      <c r="C1058" s="242">
        <v>25.2</v>
      </c>
      <c r="D1058" s="243">
        <v>40.6</v>
      </c>
      <c r="E1058" s="241">
        <v>15.2</v>
      </c>
      <c r="F1058" s="242">
        <v>28.5</v>
      </c>
      <c r="G1058" s="243">
        <v>45.9</v>
      </c>
      <c r="H1058" s="241">
        <v>17.899999999999999</v>
      </c>
      <c r="I1058" s="242">
        <v>33.9</v>
      </c>
      <c r="J1058" s="243">
        <v>54.7</v>
      </c>
      <c r="K1058" s="241">
        <v>24</v>
      </c>
      <c r="L1058" s="242">
        <v>45.8</v>
      </c>
      <c r="M1058" s="243">
        <v>73.2</v>
      </c>
      <c r="N1058" s="241">
        <v>42</v>
      </c>
      <c r="O1058" s="242">
        <v>79.599999999999994</v>
      </c>
      <c r="P1058" s="243">
        <v>122.6</v>
      </c>
      <c r="Z1058" s="244">
        <f t="shared" si="49"/>
        <v>106.19999999999766</v>
      </c>
      <c r="AA1058" s="376">
        <f t="shared" si="50"/>
        <v>5.739493497995668E-6</v>
      </c>
    </row>
    <row r="1059" spans="1:27">
      <c r="A1059" s="244">
        <f t="shared" si="48"/>
        <v>106.29999999999765</v>
      </c>
      <c r="B1059" s="241">
        <v>13.6</v>
      </c>
      <c r="C1059" s="242">
        <v>25.3</v>
      </c>
      <c r="D1059" s="243">
        <v>40.700000000000003</v>
      </c>
      <c r="E1059" s="241">
        <v>15.3</v>
      </c>
      <c r="F1059" s="242">
        <v>28.6</v>
      </c>
      <c r="G1059" s="243">
        <v>46.1</v>
      </c>
      <c r="H1059" s="241">
        <v>18</v>
      </c>
      <c r="I1059" s="242">
        <v>34</v>
      </c>
      <c r="J1059" s="243">
        <v>54.8</v>
      </c>
      <c r="K1059" s="241">
        <v>24.1</v>
      </c>
      <c r="L1059" s="242">
        <v>45.9</v>
      </c>
      <c r="M1059" s="243">
        <v>73.400000000000006</v>
      </c>
      <c r="N1059" s="241">
        <v>42.2</v>
      </c>
      <c r="O1059" s="242">
        <v>79.8</v>
      </c>
      <c r="P1059" s="243">
        <v>122.9</v>
      </c>
      <c r="Z1059" s="244">
        <f t="shared" si="49"/>
        <v>106.29999999999765</v>
      </c>
      <c r="AA1059" s="376">
        <f t="shared" si="50"/>
        <v>5.7246575450093344E-6</v>
      </c>
    </row>
    <row r="1060" spans="1:27">
      <c r="A1060" s="244">
        <f t="shared" si="48"/>
        <v>106.39999999999765</v>
      </c>
      <c r="B1060" s="241">
        <v>13.7</v>
      </c>
      <c r="C1060" s="242">
        <v>25.3</v>
      </c>
      <c r="D1060" s="243">
        <v>40.799999999999997</v>
      </c>
      <c r="E1060" s="241">
        <v>15.4</v>
      </c>
      <c r="F1060" s="242">
        <v>28.7</v>
      </c>
      <c r="G1060" s="243">
        <v>46.2</v>
      </c>
      <c r="H1060" s="241">
        <v>18.100000000000001</v>
      </c>
      <c r="I1060" s="242">
        <v>34.200000000000003</v>
      </c>
      <c r="J1060" s="243">
        <v>55</v>
      </c>
      <c r="K1060" s="241">
        <v>24.2</v>
      </c>
      <c r="L1060" s="242">
        <v>46.1</v>
      </c>
      <c r="M1060" s="243">
        <v>73.599999999999994</v>
      </c>
      <c r="N1060" s="241">
        <v>42.5</v>
      </c>
      <c r="O1060" s="242">
        <v>80.099999999999994</v>
      </c>
      <c r="P1060" s="243">
        <v>123.2</v>
      </c>
      <c r="Z1060" s="244">
        <f t="shared" si="49"/>
        <v>106.39999999999765</v>
      </c>
      <c r="AA1060" s="376">
        <f t="shared" si="50"/>
        <v>5.7098738373941965E-6</v>
      </c>
    </row>
    <row r="1061" spans="1:27">
      <c r="A1061" s="244">
        <f t="shared" si="48"/>
        <v>106.49999999999764</v>
      </c>
      <c r="B1061" s="241">
        <v>13.8</v>
      </c>
      <c r="C1061" s="242">
        <v>25.4</v>
      </c>
      <c r="D1061" s="243">
        <v>40.9</v>
      </c>
      <c r="E1061" s="241">
        <v>15.5</v>
      </c>
      <c r="F1061" s="242">
        <v>28.8</v>
      </c>
      <c r="G1061" s="243">
        <v>46.3</v>
      </c>
      <c r="H1061" s="241">
        <v>18.2</v>
      </c>
      <c r="I1061" s="242">
        <v>34.299999999999997</v>
      </c>
      <c r="J1061" s="243">
        <v>55.1</v>
      </c>
      <c r="K1061" s="241">
        <v>24.4</v>
      </c>
      <c r="L1061" s="242">
        <v>46.3</v>
      </c>
      <c r="M1061" s="243">
        <v>73.8</v>
      </c>
      <c r="N1061" s="241">
        <v>42.7</v>
      </c>
      <c r="O1061" s="242">
        <v>80.400000000000006</v>
      </c>
      <c r="P1061" s="243">
        <v>123.5</v>
      </c>
      <c r="Z1061" s="244">
        <f t="shared" si="49"/>
        <v>106.49999999999764</v>
      </c>
      <c r="AA1061" s="376">
        <f t="shared" si="50"/>
        <v>5.6951421423224575E-6</v>
      </c>
    </row>
    <row r="1062" spans="1:27">
      <c r="A1062" s="244">
        <f t="shared" si="48"/>
        <v>106.59999999999764</v>
      </c>
      <c r="B1062" s="241">
        <v>13.9</v>
      </c>
      <c r="C1062" s="242">
        <v>25.5</v>
      </c>
      <c r="D1062" s="243">
        <v>41</v>
      </c>
      <c r="E1062" s="241">
        <v>15.6</v>
      </c>
      <c r="F1062" s="242">
        <v>28.9</v>
      </c>
      <c r="G1062" s="243">
        <v>46.5</v>
      </c>
      <c r="H1062" s="241">
        <v>18.399999999999999</v>
      </c>
      <c r="I1062" s="242">
        <v>34.4</v>
      </c>
      <c r="J1062" s="243">
        <v>55.3</v>
      </c>
      <c r="K1062" s="241">
        <v>24.5</v>
      </c>
      <c r="L1062" s="242">
        <v>46.4</v>
      </c>
      <c r="M1062" s="243">
        <v>74</v>
      </c>
      <c r="N1062" s="241">
        <v>43</v>
      </c>
      <c r="O1062" s="242">
        <v>80.7</v>
      </c>
      <c r="P1062" s="243">
        <v>123.8</v>
      </c>
      <c r="Z1062" s="244">
        <f t="shared" si="49"/>
        <v>106.59999999999764</v>
      </c>
      <c r="AA1062" s="376">
        <f t="shared" si="50"/>
        <v>5.6804622282211585E-6</v>
      </c>
    </row>
    <row r="1063" spans="1:27">
      <c r="A1063" s="244">
        <f t="shared" si="48"/>
        <v>106.69999999999763</v>
      </c>
      <c r="B1063" s="241">
        <v>14</v>
      </c>
      <c r="C1063" s="242">
        <v>25.6</v>
      </c>
      <c r="D1063" s="243">
        <v>41.1</v>
      </c>
      <c r="E1063" s="241">
        <v>15.7</v>
      </c>
      <c r="F1063" s="242">
        <v>29</v>
      </c>
      <c r="G1063" s="243">
        <v>46.6</v>
      </c>
      <c r="H1063" s="241">
        <v>18.5</v>
      </c>
      <c r="I1063" s="242">
        <v>34.6</v>
      </c>
      <c r="J1063" s="243">
        <v>55.5</v>
      </c>
      <c r="K1063" s="241">
        <v>24.7</v>
      </c>
      <c r="L1063" s="242">
        <v>46.6</v>
      </c>
      <c r="M1063" s="243">
        <v>74.3</v>
      </c>
      <c r="N1063" s="241">
        <v>43.3</v>
      </c>
      <c r="O1063" s="242">
        <v>81</v>
      </c>
      <c r="P1063" s="243">
        <v>124.1</v>
      </c>
      <c r="Z1063" s="244">
        <f t="shared" si="49"/>
        <v>106.69999999999763</v>
      </c>
      <c r="AA1063" s="376">
        <f t="shared" si="50"/>
        <v>5.6658338647642542E-6</v>
      </c>
    </row>
    <row r="1064" spans="1:27">
      <c r="A1064" s="244">
        <f t="shared" si="48"/>
        <v>106.79999999999762</v>
      </c>
      <c r="B1064" s="241">
        <v>14</v>
      </c>
      <c r="C1064" s="242">
        <v>25.7</v>
      </c>
      <c r="D1064" s="243">
        <v>41.3</v>
      </c>
      <c r="E1064" s="241">
        <v>15.8</v>
      </c>
      <c r="F1064" s="242">
        <v>29.1</v>
      </c>
      <c r="G1064" s="243">
        <v>46.7</v>
      </c>
      <c r="H1064" s="241">
        <v>18.600000000000001</v>
      </c>
      <c r="I1064" s="242">
        <v>34.700000000000003</v>
      </c>
      <c r="J1064" s="243">
        <v>55.6</v>
      </c>
      <c r="K1064" s="241">
        <v>24.9</v>
      </c>
      <c r="L1064" s="242">
        <v>46.8</v>
      </c>
      <c r="M1064" s="243">
        <v>74.5</v>
      </c>
      <c r="N1064" s="241">
        <v>43.6</v>
      </c>
      <c r="O1064" s="242">
        <v>81.3</v>
      </c>
      <c r="P1064" s="243">
        <v>124.4</v>
      </c>
      <c r="Z1064" s="244">
        <f t="shared" si="49"/>
        <v>106.79999999999762</v>
      </c>
      <c r="AA1064" s="376">
        <f t="shared" si="50"/>
        <v>5.6512568228647299E-6</v>
      </c>
    </row>
    <row r="1065" spans="1:27">
      <c r="A1065" s="244">
        <f t="shared" si="48"/>
        <v>106.89999999999762</v>
      </c>
      <c r="B1065" s="241">
        <v>14.1</v>
      </c>
      <c r="C1065" s="242">
        <v>25.8</v>
      </c>
      <c r="D1065" s="243">
        <v>41.4</v>
      </c>
      <c r="E1065" s="241">
        <v>15.9</v>
      </c>
      <c r="F1065" s="242">
        <v>29.2</v>
      </c>
      <c r="G1065" s="243">
        <v>46.9</v>
      </c>
      <c r="H1065" s="241">
        <v>18.7</v>
      </c>
      <c r="I1065" s="242">
        <v>34.799999999999997</v>
      </c>
      <c r="J1065" s="243">
        <v>55.8</v>
      </c>
      <c r="K1065" s="241">
        <v>25</v>
      </c>
      <c r="L1065" s="242">
        <v>47</v>
      </c>
      <c r="M1065" s="243">
        <v>74.7</v>
      </c>
      <c r="N1065" s="241">
        <v>43.9</v>
      </c>
      <c r="O1065" s="242">
        <v>81.599999999999994</v>
      </c>
      <c r="P1065" s="243">
        <v>124.7</v>
      </c>
      <c r="Z1065" s="244">
        <f t="shared" si="49"/>
        <v>106.89999999999762</v>
      </c>
      <c r="AA1065" s="376">
        <f t="shared" si="50"/>
        <v>5.63673087466679E-6</v>
      </c>
    </row>
    <row r="1066" spans="1:27">
      <c r="A1066" s="244">
        <f t="shared" si="48"/>
        <v>106.99999999999761</v>
      </c>
      <c r="B1066" s="241">
        <v>14.2</v>
      </c>
      <c r="C1066" s="242">
        <v>25.9</v>
      </c>
      <c r="D1066" s="243">
        <v>41.5</v>
      </c>
      <c r="E1066" s="241">
        <v>16</v>
      </c>
      <c r="F1066" s="242">
        <v>29.4</v>
      </c>
      <c r="G1066" s="243">
        <v>47</v>
      </c>
      <c r="H1066" s="241">
        <v>18.8</v>
      </c>
      <c r="I1066" s="242">
        <v>35</v>
      </c>
      <c r="J1066" s="243">
        <v>56</v>
      </c>
      <c r="K1066" s="241">
        <v>25.2</v>
      </c>
      <c r="L1066" s="242">
        <v>47.2</v>
      </c>
      <c r="M1066" s="243">
        <v>74.900000000000006</v>
      </c>
      <c r="N1066" s="241">
        <v>44.2</v>
      </c>
      <c r="O1066" s="242">
        <v>81.900000000000006</v>
      </c>
      <c r="P1066" s="243">
        <v>125</v>
      </c>
      <c r="Z1066" s="244">
        <f t="shared" si="49"/>
        <v>106.99999999999761</v>
      </c>
      <c r="AA1066" s="376">
        <f t="shared" si="50"/>
        <v>5.6222557935380984E-6</v>
      </c>
    </row>
    <row r="1067" spans="1:27">
      <c r="A1067" s="244">
        <f t="shared" si="48"/>
        <v>107.09999999999761</v>
      </c>
      <c r="B1067" s="241">
        <v>14.3</v>
      </c>
      <c r="C1067" s="242">
        <v>26</v>
      </c>
      <c r="D1067" s="243">
        <v>41.6</v>
      </c>
      <c r="E1067" s="241">
        <v>16.100000000000001</v>
      </c>
      <c r="F1067" s="242">
        <v>29.5</v>
      </c>
      <c r="G1067" s="243">
        <v>47.2</v>
      </c>
      <c r="H1067" s="241">
        <v>19</v>
      </c>
      <c r="I1067" s="242">
        <v>35.1</v>
      </c>
      <c r="J1067" s="243">
        <v>56.1</v>
      </c>
      <c r="K1067" s="241">
        <v>25.4</v>
      </c>
      <c r="L1067" s="242">
        <v>47.4</v>
      </c>
      <c r="M1067" s="243">
        <v>75.099999999999994</v>
      </c>
      <c r="N1067" s="241">
        <v>44.5</v>
      </c>
      <c r="O1067" s="242">
        <v>82.2</v>
      </c>
      <c r="P1067" s="243">
        <v>125.3</v>
      </c>
      <c r="Z1067" s="244">
        <f t="shared" si="49"/>
        <v>107.09999999999761</v>
      </c>
      <c r="AA1067" s="376">
        <f t="shared" si="50"/>
        <v>5.6078313540620688E-6</v>
      </c>
    </row>
    <row r="1068" spans="1:27">
      <c r="A1068" s="244">
        <f t="shared" si="48"/>
        <v>107.1999999999976</v>
      </c>
      <c r="B1068" s="241">
        <v>14.4</v>
      </c>
      <c r="C1068" s="242">
        <v>26.2</v>
      </c>
      <c r="D1068" s="243">
        <v>41.8</v>
      </c>
      <c r="E1068" s="241">
        <v>16.2</v>
      </c>
      <c r="F1068" s="242">
        <v>29.6</v>
      </c>
      <c r="G1068" s="243">
        <v>47.3</v>
      </c>
      <c r="H1068" s="241">
        <v>19.100000000000001</v>
      </c>
      <c r="I1068" s="242">
        <v>35.299999999999997</v>
      </c>
      <c r="J1068" s="243">
        <v>56.3</v>
      </c>
      <c r="K1068" s="241">
        <v>25.5</v>
      </c>
      <c r="L1068" s="242">
        <v>47.6</v>
      </c>
      <c r="M1068" s="243">
        <v>75.3</v>
      </c>
      <c r="N1068" s="241">
        <v>44.8</v>
      </c>
      <c r="O1068" s="242">
        <v>82.5</v>
      </c>
      <c r="P1068" s="243">
        <v>125.7</v>
      </c>
      <c r="Z1068" s="244">
        <f t="shared" si="49"/>
        <v>107.1999999999976</v>
      </c>
      <c r="AA1068" s="376">
        <f t="shared" si="50"/>
        <v>5.593457332030221E-6</v>
      </c>
    </row>
    <row r="1069" spans="1:27">
      <c r="A1069" s="244">
        <f t="shared" si="48"/>
        <v>107.2999999999976</v>
      </c>
      <c r="B1069" s="241">
        <v>14.5</v>
      </c>
      <c r="C1069" s="242">
        <v>26.3</v>
      </c>
      <c r="D1069" s="243">
        <v>41.9</v>
      </c>
      <c r="E1069" s="241">
        <v>16.3</v>
      </c>
      <c r="F1069" s="242">
        <v>29.7</v>
      </c>
      <c r="G1069" s="243">
        <v>47.5</v>
      </c>
      <c r="H1069" s="241">
        <v>19.2</v>
      </c>
      <c r="I1069" s="242">
        <v>35.4</v>
      </c>
      <c r="J1069" s="243">
        <v>56.5</v>
      </c>
      <c r="K1069" s="241">
        <v>25.7</v>
      </c>
      <c r="L1069" s="242">
        <v>47.8</v>
      </c>
      <c r="M1069" s="243">
        <v>75.599999999999994</v>
      </c>
      <c r="N1069" s="241">
        <v>45.1</v>
      </c>
      <c r="O1069" s="242">
        <v>82.8</v>
      </c>
      <c r="P1069" s="243">
        <v>126</v>
      </c>
      <c r="Z1069" s="244">
        <f t="shared" si="49"/>
        <v>107.2999999999976</v>
      </c>
      <c r="AA1069" s="376">
        <f t="shared" si="50"/>
        <v>5.5791335044345822E-6</v>
      </c>
    </row>
    <row r="1070" spans="1:27">
      <c r="A1070" s="244">
        <f t="shared" si="48"/>
        <v>107.39999999999759</v>
      </c>
      <c r="B1070" s="241">
        <v>14.6</v>
      </c>
      <c r="C1070" s="242">
        <v>26.4</v>
      </c>
      <c r="D1070" s="243">
        <v>42</v>
      </c>
      <c r="E1070" s="241">
        <v>16.399999999999999</v>
      </c>
      <c r="F1070" s="242">
        <v>29.9</v>
      </c>
      <c r="G1070" s="243">
        <v>47.6</v>
      </c>
      <c r="H1070" s="241">
        <v>19.399999999999999</v>
      </c>
      <c r="I1070" s="242">
        <v>35.6</v>
      </c>
      <c r="J1070" s="243">
        <v>56.7</v>
      </c>
      <c r="K1070" s="241">
        <v>25.9</v>
      </c>
      <c r="L1070" s="242">
        <v>48</v>
      </c>
      <c r="M1070" s="243">
        <v>75.8</v>
      </c>
      <c r="N1070" s="241">
        <v>45.4</v>
      </c>
      <c r="O1070" s="242">
        <v>83.2</v>
      </c>
      <c r="P1070" s="243">
        <v>126.3</v>
      </c>
      <c r="Z1070" s="244">
        <f t="shared" si="49"/>
        <v>107.39999999999759</v>
      </c>
      <c r="AA1070" s="376">
        <f t="shared" si="50"/>
        <v>5.5648596494601527E-6</v>
      </c>
    </row>
    <row r="1071" spans="1:27">
      <c r="A1071" s="244">
        <f t="shared" si="48"/>
        <v>107.49999999999758</v>
      </c>
      <c r="B1071" s="241">
        <v>14.7</v>
      </c>
      <c r="C1071" s="242">
        <v>26.5</v>
      </c>
      <c r="D1071" s="243">
        <v>42.2</v>
      </c>
      <c r="E1071" s="241">
        <v>16.5</v>
      </c>
      <c r="F1071" s="242">
        <v>30</v>
      </c>
      <c r="G1071" s="243">
        <v>47.8</v>
      </c>
      <c r="H1071" s="241">
        <v>19.5</v>
      </c>
      <c r="I1071" s="242">
        <v>35.700000000000003</v>
      </c>
      <c r="J1071" s="243">
        <v>56.8</v>
      </c>
      <c r="K1071" s="241">
        <v>26.1</v>
      </c>
      <c r="L1071" s="242">
        <v>48.2</v>
      </c>
      <c r="M1071" s="243">
        <v>76</v>
      </c>
      <c r="N1071" s="241">
        <v>45.8</v>
      </c>
      <c r="O1071" s="242">
        <v>83.5</v>
      </c>
      <c r="P1071" s="243">
        <v>126.7</v>
      </c>
      <c r="Z1071" s="244">
        <f t="shared" si="49"/>
        <v>107.49999999999758</v>
      </c>
      <c r="AA1071" s="376">
        <f t="shared" si="50"/>
        <v>5.5506355464774181E-6</v>
      </c>
    </row>
    <row r="1072" spans="1:27">
      <c r="A1072" s="244">
        <f t="shared" si="48"/>
        <v>107.59999999999758</v>
      </c>
      <c r="B1072" s="241">
        <v>14.8</v>
      </c>
      <c r="C1072" s="242">
        <v>26.6</v>
      </c>
      <c r="D1072" s="243">
        <v>42.3</v>
      </c>
      <c r="E1072" s="241">
        <v>16.600000000000001</v>
      </c>
      <c r="F1072" s="242">
        <v>30.1</v>
      </c>
      <c r="G1072" s="243">
        <v>47.9</v>
      </c>
      <c r="H1072" s="241">
        <v>19.600000000000001</v>
      </c>
      <c r="I1072" s="242">
        <v>35.9</v>
      </c>
      <c r="J1072" s="243">
        <v>57</v>
      </c>
      <c r="K1072" s="241">
        <v>26.3</v>
      </c>
      <c r="L1072" s="242">
        <v>48.4</v>
      </c>
      <c r="M1072" s="243">
        <v>76.3</v>
      </c>
      <c r="N1072" s="241">
        <v>46.1</v>
      </c>
      <c r="O1072" s="242">
        <v>83.9</v>
      </c>
      <c r="P1072" s="243">
        <v>127</v>
      </c>
      <c r="Z1072" s="244">
        <f t="shared" si="49"/>
        <v>107.59999999999758</v>
      </c>
      <c r="AA1072" s="376">
        <f t="shared" si="50"/>
        <v>5.5364609760349199E-6</v>
      </c>
    </row>
    <row r="1073" spans="1:27">
      <c r="A1073" s="244">
        <f t="shared" si="48"/>
        <v>107.69999999999757</v>
      </c>
      <c r="B1073" s="241">
        <v>14.9</v>
      </c>
      <c r="C1073" s="242">
        <v>26.7</v>
      </c>
      <c r="D1073" s="243">
        <v>42.5</v>
      </c>
      <c r="E1073" s="241">
        <v>16.7</v>
      </c>
      <c r="F1073" s="242">
        <v>30.3</v>
      </c>
      <c r="G1073" s="243">
        <v>48.1</v>
      </c>
      <c r="H1073" s="241">
        <v>19.8</v>
      </c>
      <c r="I1073" s="242">
        <v>36</v>
      </c>
      <c r="J1073" s="243">
        <v>57.2</v>
      </c>
      <c r="K1073" s="241">
        <v>26.5</v>
      </c>
      <c r="L1073" s="242">
        <v>48.6</v>
      </c>
      <c r="M1073" s="243">
        <v>76.5</v>
      </c>
      <c r="N1073" s="241">
        <v>46.5</v>
      </c>
      <c r="O1073" s="242">
        <v>84.2</v>
      </c>
      <c r="P1073" s="243">
        <v>127.4</v>
      </c>
      <c r="Z1073" s="244">
        <f t="shared" si="49"/>
        <v>107.69999999999757</v>
      </c>
      <c r="AA1073" s="376">
        <f t="shared" si="50"/>
        <v>5.5223357198518806E-6</v>
      </c>
    </row>
    <row r="1074" spans="1:27">
      <c r="A1074" s="244">
        <f t="shared" si="48"/>
        <v>107.79999999999757</v>
      </c>
      <c r="B1074" s="241">
        <v>15</v>
      </c>
      <c r="C1074" s="242">
        <v>26.9</v>
      </c>
      <c r="D1074" s="243">
        <v>42.6</v>
      </c>
      <c r="E1074" s="241">
        <v>16.899999999999999</v>
      </c>
      <c r="F1074" s="242">
        <v>30.4</v>
      </c>
      <c r="G1074" s="243">
        <v>48.2</v>
      </c>
      <c r="H1074" s="241">
        <v>19.899999999999999</v>
      </c>
      <c r="I1074" s="242">
        <v>36.200000000000003</v>
      </c>
      <c r="J1074" s="243">
        <v>57.4</v>
      </c>
      <c r="K1074" s="241">
        <v>26.7</v>
      </c>
      <c r="L1074" s="242">
        <v>48.8</v>
      </c>
      <c r="M1074" s="243">
        <v>76.7</v>
      </c>
      <c r="N1074" s="241">
        <v>46.8</v>
      </c>
      <c r="O1074" s="242">
        <v>84.6</v>
      </c>
      <c r="P1074" s="243">
        <v>127.7</v>
      </c>
      <c r="Z1074" s="244">
        <f t="shared" si="49"/>
        <v>107.79999999999757</v>
      </c>
      <c r="AA1074" s="376">
        <f t="shared" si="50"/>
        <v>5.508259560810869E-6</v>
      </c>
    </row>
    <row r="1075" spans="1:27">
      <c r="A1075" s="244">
        <f t="shared" si="48"/>
        <v>107.89999999999756</v>
      </c>
      <c r="B1075" s="241">
        <v>15.1</v>
      </c>
      <c r="C1075" s="242">
        <v>27</v>
      </c>
      <c r="D1075" s="243">
        <v>42.7</v>
      </c>
      <c r="E1075" s="241">
        <v>17</v>
      </c>
      <c r="F1075" s="242">
        <v>30.5</v>
      </c>
      <c r="G1075" s="243">
        <v>48.4</v>
      </c>
      <c r="H1075" s="241">
        <v>20.100000000000001</v>
      </c>
      <c r="I1075" s="242">
        <v>36.4</v>
      </c>
      <c r="J1075" s="243">
        <v>57.6</v>
      </c>
      <c r="K1075" s="241">
        <v>26.9</v>
      </c>
      <c r="L1075" s="242">
        <v>49.1</v>
      </c>
      <c r="M1075" s="243">
        <v>77</v>
      </c>
      <c r="N1075" s="241">
        <v>47.2</v>
      </c>
      <c r="O1075" s="242">
        <v>84.9</v>
      </c>
      <c r="P1075" s="243">
        <v>128.1</v>
      </c>
      <c r="Z1075" s="244">
        <f t="shared" si="49"/>
        <v>107.89999999999756</v>
      </c>
      <c r="AA1075" s="376">
        <f t="shared" si="50"/>
        <v>5.4942322829505453E-6</v>
      </c>
    </row>
    <row r="1076" spans="1:27">
      <c r="A1076" s="244">
        <f t="shared" si="48"/>
        <v>107.99999999999756</v>
      </c>
      <c r="B1076" s="241">
        <v>15.3</v>
      </c>
      <c r="C1076" s="242">
        <v>27.1</v>
      </c>
      <c r="D1076" s="243">
        <v>42.9</v>
      </c>
      <c r="E1076" s="241">
        <v>17.100000000000001</v>
      </c>
      <c r="F1076" s="242">
        <v>30.7</v>
      </c>
      <c r="G1076" s="243">
        <v>48.6</v>
      </c>
      <c r="H1076" s="241">
        <v>20.3</v>
      </c>
      <c r="I1076" s="242">
        <v>36.6</v>
      </c>
      <c r="J1076" s="243">
        <v>57.8</v>
      </c>
      <c r="K1076" s="241">
        <v>27.2</v>
      </c>
      <c r="L1076" s="242">
        <v>49.3</v>
      </c>
      <c r="M1076" s="243">
        <v>77.3</v>
      </c>
      <c r="N1076" s="241">
        <v>47.6</v>
      </c>
      <c r="O1076" s="242">
        <v>85.3</v>
      </c>
      <c r="P1076" s="243">
        <v>128.5</v>
      </c>
      <c r="Z1076" s="244">
        <f t="shared" si="49"/>
        <v>107.99999999999756</v>
      </c>
      <c r="AA1076" s="376">
        <f t="shared" si="50"/>
        <v>5.4802536714584244E-6</v>
      </c>
    </row>
    <row r="1077" spans="1:27">
      <c r="A1077" s="244">
        <f t="shared" si="48"/>
        <v>108.09999999999755</v>
      </c>
      <c r="B1077" s="241">
        <v>15.4</v>
      </c>
      <c r="C1077" s="242">
        <v>27.2</v>
      </c>
      <c r="D1077" s="243">
        <v>43</v>
      </c>
      <c r="E1077" s="241">
        <v>17.3</v>
      </c>
      <c r="F1077" s="242">
        <v>30.8</v>
      </c>
      <c r="G1077" s="243">
        <v>48.7</v>
      </c>
      <c r="H1077" s="241">
        <v>20.399999999999999</v>
      </c>
      <c r="I1077" s="242">
        <v>36.700000000000003</v>
      </c>
      <c r="J1077" s="243">
        <v>58</v>
      </c>
      <c r="K1077" s="241">
        <v>27.4</v>
      </c>
      <c r="L1077" s="242">
        <v>49.5</v>
      </c>
      <c r="M1077" s="243">
        <v>77.5</v>
      </c>
      <c r="N1077" s="241">
        <v>48</v>
      </c>
      <c r="O1077" s="242">
        <v>85.7</v>
      </c>
      <c r="P1077" s="243">
        <v>128.80000000000001</v>
      </c>
      <c r="Z1077" s="244">
        <f t="shared" si="49"/>
        <v>108.09999999999755</v>
      </c>
      <c r="AA1077" s="376">
        <f t="shared" si="50"/>
        <v>5.4663235126637217E-6</v>
      </c>
    </row>
    <row r="1078" spans="1:27">
      <c r="A1078" s="244">
        <f t="shared" si="48"/>
        <v>108.19999999999754</v>
      </c>
      <c r="B1078" s="241">
        <v>15.5</v>
      </c>
      <c r="C1078" s="242">
        <v>27.4</v>
      </c>
      <c r="D1078" s="243">
        <v>43.2</v>
      </c>
      <c r="E1078" s="241">
        <v>17.399999999999999</v>
      </c>
      <c r="F1078" s="242">
        <v>31</v>
      </c>
      <c r="G1078" s="243">
        <v>48.9</v>
      </c>
      <c r="H1078" s="241">
        <v>20.6</v>
      </c>
      <c r="I1078" s="242">
        <v>36.9</v>
      </c>
      <c r="J1078" s="243">
        <v>58.2</v>
      </c>
      <c r="K1078" s="241">
        <v>27.6</v>
      </c>
      <c r="L1078" s="242">
        <v>49.8</v>
      </c>
      <c r="M1078" s="243">
        <v>77.8</v>
      </c>
      <c r="N1078" s="241">
        <v>48.4</v>
      </c>
      <c r="O1078" s="242">
        <v>86.1</v>
      </c>
      <c r="P1078" s="243">
        <v>129.19999999999999</v>
      </c>
      <c r="Z1078" s="244">
        <f t="shared" si="49"/>
        <v>108.19999999999754</v>
      </c>
      <c r="AA1078" s="376">
        <f t="shared" si="50"/>
        <v>5.4524415940302268E-6</v>
      </c>
    </row>
    <row r="1079" spans="1:27">
      <c r="A1079" s="244">
        <f t="shared" si="48"/>
        <v>108.29999999999754</v>
      </c>
      <c r="B1079" s="241">
        <v>15.6</v>
      </c>
      <c r="C1079" s="242">
        <v>27.5</v>
      </c>
      <c r="D1079" s="243">
        <v>43.4</v>
      </c>
      <c r="E1079" s="241">
        <v>17.600000000000001</v>
      </c>
      <c r="F1079" s="242">
        <v>31.1</v>
      </c>
      <c r="G1079" s="243">
        <v>49.1</v>
      </c>
      <c r="H1079" s="241">
        <v>20.8</v>
      </c>
      <c r="I1079" s="242">
        <v>37.1</v>
      </c>
      <c r="J1079" s="243">
        <v>58.4</v>
      </c>
      <c r="K1079" s="241">
        <v>27.9</v>
      </c>
      <c r="L1079" s="242">
        <v>50</v>
      </c>
      <c r="M1079" s="243">
        <v>78.099999999999994</v>
      </c>
      <c r="N1079" s="241">
        <v>48.8</v>
      </c>
      <c r="O1079" s="242">
        <v>86.5</v>
      </c>
      <c r="P1079" s="243">
        <v>129.6</v>
      </c>
      <c r="Z1079" s="244">
        <f t="shared" si="49"/>
        <v>108.29999999999754</v>
      </c>
      <c r="AA1079" s="376">
        <f t="shared" si="50"/>
        <v>5.4386077041492403E-6</v>
      </c>
    </row>
    <row r="1080" spans="1:27">
      <c r="A1080" s="244">
        <f t="shared" si="48"/>
        <v>108.39999999999753</v>
      </c>
      <c r="B1080" s="241">
        <v>15.8</v>
      </c>
      <c r="C1080" s="242">
        <v>27.7</v>
      </c>
      <c r="D1080" s="243">
        <v>43.5</v>
      </c>
      <c r="E1080" s="241">
        <v>17.7</v>
      </c>
      <c r="F1080" s="242">
        <v>31.3</v>
      </c>
      <c r="G1080" s="243">
        <v>49.3</v>
      </c>
      <c r="H1080" s="241">
        <v>21</v>
      </c>
      <c r="I1080" s="242">
        <v>37.299999999999997</v>
      </c>
      <c r="J1080" s="243">
        <v>58.6</v>
      </c>
      <c r="K1080" s="241">
        <v>28.1</v>
      </c>
      <c r="L1080" s="242">
        <v>50.3</v>
      </c>
      <c r="M1080" s="243">
        <v>78.3</v>
      </c>
      <c r="N1080" s="241">
        <v>49.3</v>
      </c>
      <c r="O1080" s="242">
        <v>86.9</v>
      </c>
      <c r="P1080" s="243">
        <v>130</v>
      </c>
      <c r="Z1080" s="244">
        <f t="shared" si="49"/>
        <v>108.39999999999753</v>
      </c>
      <c r="AA1080" s="376">
        <f t="shared" si="50"/>
        <v>5.4248216327325647E-6</v>
      </c>
    </row>
    <row r="1081" spans="1:27">
      <c r="A1081" s="244">
        <f t="shared" si="48"/>
        <v>108.49999999999753</v>
      </c>
      <c r="B1081" s="241">
        <v>15.9</v>
      </c>
      <c r="C1081" s="242">
        <v>27.8</v>
      </c>
      <c r="D1081" s="243">
        <v>43.7</v>
      </c>
      <c r="E1081" s="241">
        <v>17.899999999999999</v>
      </c>
      <c r="F1081" s="242">
        <v>31.5</v>
      </c>
      <c r="G1081" s="243">
        <v>49.5</v>
      </c>
      <c r="H1081" s="241">
        <v>21.1</v>
      </c>
      <c r="I1081" s="242">
        <v>37.5</v>
      </c>
      <c r="J1081" s="243">
        <v>58.8</v>
      </c>
      <c r="K1081" s="241">
        <v>28.4</v>
      </c>
      <c r="L1081" s="242">
        <v>50.6</v>
      </c>
      <c r="M1081" s="243">
        <v>78.599999999999994</v>
      </c>
      <c r="N1081" s="241">
        <v>49.7</v>
      </c>
      <c r="O1081" s="242">
        <v>87.4</v>
      </c>
      <c r="P1081" s="243">
        <v>130.4</v>
      </c>
      <c r="Z1081" s="244">
        <f t="shared" si="49"/>
        <v>108.49999999999753</v>
      </c>
      <c r="AA1081" s="376">
        <f t="shared" si="50"/>
        <v>5.4110831706055306E-6</v>
      </c>
    </row>
    <row r="1082" spans="1:27">
      <c r="A1082" s="244">
        <f t="shared" si="48"/>
        <v>108.59999999999752</v>
      </c>
      <c r="B1082" s="241">
        <v>16</v>
      </c>
      <c r="C1082" s="242">
        <v>28</v>
      </c>
      <c r="D1082" s="243">
        <v>43.9</v>
      </c>
      <c r="E1082" s="241">
        <v>18</v>
      </c>
      <c r="F1082" s="242">
        <v>31.6</v>
      </c>
      <c r="G1082" s="243">
        <v>49.7</v>
      </c>
      <c r="H1082" s="241">
        <v>21.3</v>
      </c>
      <c r="I1082" s="242">
        <v>37.700000000000003</v>
      </c>
      <c r="J1082" s="243">
        <v>59.1</v>
      </c>
      <c r="K1082" s="241">
        <v>28.6</v>
      </c>
      <c r="L1082" s="242">
        <v>50.8</v>
      </c>
      <c r="M1082" s="243">
        <v>78.900000000000006</v>
      </c>
      <c r="N1082" s="241">
        <v>50.2</v>
      </c>
      <c r="O1082" s="242">
        <v>87.8</v>
      </c>
      <c r="P1082" s="243">
        <v>130.80000000000001</v>
      </c>
      <c r="Z1082" s="244">
        <f t="shared" si="49"/>
        <v>108.59999999999752</v>
      </c>
      <c r="AA1082" s="376">
        <f t="shared" si="50"/>
        <v>5.397392109700084E-6</v>
      </c>
    </row>
    <row r="1083" spans="1:27">
      <c r="A1083" s="244">
        <f t="shared" si="48"/>
        <v>108.69999999999752</v>
      </c>
      <c r="B1083" s="241">
        <v>16.2</v>
      </c>
      <c r="C1083" s="242">
        <v>28.1</v>
      </c>
      <c r="D1083" s="243">
        <v>44</v>
      </c>
      <c r="E1083" s="241">
        <v>18.2</v>
      </c>
      <c r="F1083" s="242">
        <v>31.8</v>
      </c>
      <c r="G1083" s="243">
        <v>49.8</v>
      </c>
      <c r="H1083" s="241">
        <v>21.5</v>
      </c>
      <c r="I1083" s="242">
        <v>37.9</v>
      </c>
      <c r="J1083" s="243">
        <v>59.3</v>
      </c>
      <c r="K1083" s="241">
        <v>28.9</v>
      </c>
      <c r="L1083" s="242">
        <v>51.1</v>
      </c>
      <c r="M1083" s="243">
        <v>79.2</v>
      </c>
      <c r="N1083" s="241">
        <v>50.6</v>
      </c>
      <c r="O1083" s="242">
        <v>88.2</v>
      </c>
      <c r="P1083" s="243">
        <v>131.19999999999999</v>
      </c>
      <c r="Z1083" s="244">
        <f t="shared" si="49"/>
        <v>108.69999999999752</v>
      </c>
      <c r="AA1083" s="376">
        <f t="shared" si="50"/>
        <v>5.3837482430479213E-6</v>
      </c>
    </row>
    <row r="1084" spans="1:27">
      <c r="A1084" s="244">
        <f t="shared" si="48"/>
        <v>108.79999999999751</v>
      </c>
      <c r="B1084" s="241">
        <v>16.3</v>
      </c>
      <c r="C1084" s="242">
        <v>28.3</v>
      </c>
      <c r="D1084" s="243">
        <v>44.2</v>
      </c>
      <c r="E1084" s="241">
        <v>18.399999999999999</v>
      </c>
      <c r="F1084" s="242">
        <v>32</v>
      </c>
      <c r="G1084" s="243">
        <v>50</v>
      </c>
      <c r="H1084" s="241">
        <v>21.7</v>
      </c>
      <c r="I1084" s="242">
        <v>38.1</v>
      </c>
      <c r="J1084" s="243">
        <v>59.5</v>
      </c>
      <c r="K1084" s="241">
        <v>29.2</v>
      </c>
      <c r="L1084" s="242">
        <v>51.4</v>
      </c>
      <c r="M1084" s="243">
        <v>79.5</v>
      </c>
      <c r="N1084" s="241">
        <v>51.1</v>
      </c>
      <c r="O1084" s="242">
        <v>88.7</v>
      </c>
      <c r="P1084" s="243">
        <v>131.6</v>
      </c>
      <c r="Z1084" s="244">
        <f t="shared" si="49"/>
        <v>108.79999999999751</v>
      </c>
      <c r="AA1084" s="376">
        <f t="shared" si="50"/>
        <v>5.3701513647736757E-6</v>
      </c>
    </row>
    <row r="1085" spans="1:27">
      <c r="A1085" s="244">
        <f t="shared" si="48"/>
        <v>108.8999999999975</v>
      </c>
      <c r="B1085" s="241">
        <v>16.5</v>
      </c>
      <c r="C1085" s="242">
        <v>28.4</v>
      </c>
      <c r="D1085" s="243">
        <v>44.4</v>
      </c>
      <c r="E1085" s="241">
        <v>18.5</v>
      </c>
      <c r="F1085" s="242">
        <v>32.200000000000003</v>
      </c>
      <c r="G1085" s="243">
        <v>50.2</v>
      </c>
      <c r="H1085" s="241">
        <v>21.9</v>
      </c>
      <c r="I1085" s="242">
        <v>38.4</v>
      </c>
      <c r="J1085" s="243">
        <v>59.8</v>
      </c>
      <c r="K1085" s="241">
        <v>29.4</v>
      </c>
      <c r="L1085" s="242">
        <v>51.7</v>
      </c>
      <c r="M1085" s="243">
        <v>79.8</v>
      </c>
      <c r="N1085" s="241">
        <v>51.6</v>
      </c>
      <c r="O1085" s="242">
        <v>89.2</v>
      </c>
      <c r="P1085" s="243">
        <v>132.1</v>
      </c>
      <c r="Z1085" s="244">
        <f t="shared" si="49"/>
        <v>108.8999999999975</v>
      </c>
      <c r="AA1085" s="376">
        <f t="shared" si="50"/>
        <v>5.3566012700881357E-6</v>
      </c>
    </row>
    <row r="1086" spans="1:27">
      <c r="A1086" s="244">
        <f t="shared" si="48"/>
        <v>108.9999999999975</v>
      </c>
      <c r="B1086" s="241">
        <v>16.600000000000001</v>
      </c>
      <c r="C1086" s="242">
        <v>28.6</v>
      </c>
      <c r="D1086" s="243">
        <v>44.6</v>
      </c>
      <c r="E1086" s="241">
        <v>18.7</v>
      </c>
      <c r="F1086" s="242">
        <v>32.4</v>
      </c>
      <c r="G1086" s="243">
        <v>50.5</v>
      </c>
      <c r="H1086" s="241">
        <v>22.2</v>
      </c>
      <c r="I1086" s="242">
        <v>38.6</v>
      </c>
      <c r="J1086" s="243">
        <v>60</v>
      </c>
      <c r="K1086" s="241">
        <v>29.7</v>
      </c>
      <c r="L1086" s="242">
        <v>52</v>
      </c>
      <c r="M1086" s="243">
        <v>80.099999999999994</v>
      </c>
      <c r="N1086" s="241">
        <v>52.1</v>
      </c>
      <c r="O1086" s="242">
        <v>89.6</v>
      </c>
      <c r="P1086" s="243">
        <v>132.5</v>
      </c>
      <c r="Z1086" s="244">
        <f t="shared" si="49"/>
        <v>108.9999999999975</v>
      </c>
      <c r="AA1086" s="376">
        <f t="shared" si="50"/>
        <v>5.3430977552815378E-6</v>
      </c>
    </row>
    <row r="1087" spans="1:27">
      <c r="A1087" s="244">
        <f t="shared" si="48"/>
        <v>109.09999999999749</v>
      </c>
      <c r="B1087" s="241">
        <v>16.8</v>
      </c>
      <c r="C1087" s="242">
        <v>28.8</v>
      </c>
      <c r="D1087" s="243">
        <v>44.8</v>
      </c>
      <c r="E1087" s="241">
        <v>18.899999999999999</v>
      </c>
      <c r="F1087" s="242">
        <v>32.6</v>
      </c>
      <c r="G1087" s="243">
        <v>50.7</v>
      </c>
      <c r="H1087" s="241">
        <v>22.4</v>
      </c>
      <c r="I1087" s="242">
        <v>38.799999999999997</v>
      </c>
      <c r="J1087" s="243">
        <v>60.2</v>
      </c>
      <c r="K1087" s="241">
        <v>30</v>
      </c>
      <c r="L1087" s="242">
        <v>52.3</v>
      </c>
      <c r="M1087" s="243">
        <v>80.400000000000006</v>
      </c>
      <c r="N1087" s="241">
        <v>52.6</v>
      </c>
      <c r="O1087" s="242">
        <v>90.1</v>
      </c>
      <c r="P1087" s="243">
        <v>133</v>
      </c>
      <c r="Z1087" s="244">
        <f t="shared" si="49"/>
        <v>109.09999999999749</v>
      </c>
      <c r="AA1087" s="376">
        <f t="shared" si="50"/>
        <v>5.3296406177168864E-6</v>
      </c>
    </row>
    <row r="1088" spans="1:27">
      <c r="A1088" s="244">
        <f t="shared" si="48"/>
        <v>109.19999999999749</v>
      </c>
      <c r="B1088" s="241">
        <v>16.899999999999999</v>
      </c>
      <c r="C1088" s="242">
        <v>28.9</v>
      </c>
      <c r="D1088" s="243">
        <v>44.9</v>
      </c>
      <c r="E1088" s="241">
        <v>19.100000000000001</v>
      </c>
      <c r="F1088" s="242">
        <v>32.799999999999997</v>
      </c>
      <c r="G1088" s="243">
        <v>50.9</v>
      </c>
      <c r="H1088" s="241">
        <v>22.6</v>
      </c>
      <c r="I1088" s="242">
        <v>39</v>
      </c>
      <c r="J1088" s="243">
        <v>60.5</v>
      </c>
      <c r="K1088" s="241">
        <v>30.4</v>
      </c>
      <c r="L1088" s="242">
        <v>52.6</v>
      </c>
      <c r="M1088" s="243">
        <v>80.7</v>
      </c>
      <c r="N1088" s="241">
        <v>53.2</v>
      </c>
      <c r="O1088" s="242">
        <v>90.6</v>
      </c>
      <c r="P1088" s="243">
        <v>133.4</v>
      </c>
      <c r="Z1088" s="244">
        <f t="shared" si="49"/>
        <v>109.19999999999749</v>
      </c>
      <c r="AA1088" s="376">
        <f t="shared" si="50"/>
        <v>5.3162296558233335E-6</v>
      </c>
    </row>
    <row r="1089" spans="1:27">
      <c r="A1089" s="244">
        <f t="shared" si="48"/>
        <v>109.29999999999748</v>
      </c>
      <c r="B1089" s="241">
        <v>17.100000000000001</v>
      </c>
      <c r="C1089" s="242">
        <v>29.1</v>
      </c>
      <c r="D1089" s="243">
        <v>45.1</v>
      </c>
      <c r="E1089" s="241">
        <v>19.3</v>
      </c>
      <c r="F1089" s="242">
        <v>33</v>
      </c>
      <c r="G1089" s="243">
        <v>51.1</v>
      </c>
      <c r="H1089" s="241">
        <v>22.8</v>
      </c>
      <c r="I1089" s="242">
        <v>39.299999999999997</v>
      </c>
      <c r="J1089" s="243">
        <v>60.8</v>
      </c>
      <c r="K1089" s="241">
        <v>30.7</v>
      </c>
      <c r="L1089" s="242">
        <v>52.9</v>
      </c>
      <c r="M1089" s="243">
        <v>81.099999999999994</v>
      </c>
      <c r="N1089" s="241">
        <v>53.7</v>
      </c>
      <c r="O1089" s="242">
        <v>91.1</v>
      </c>
      <c r="P1089" s="243">
        <v>133.9</v>
      </c>
      <c r="Z1089" s="244">
        <f t="shared" si="49"/>
        <v>109.29999999999748</v>
      </c>
      <c r="AA1089" s="376">
        <f t="shared" si="50"/>
        <v>5.3028646690895891E-6</v>
      </c>
    </row>
    <row r="1090" spans="1:27">
      <c r="A1090" s="244">
        <f t="shared" si="48"/>
        <v>109.39999999999748</v>
      </c>
      <c r="B1090" s="241">
        <v>17.3</v>
      </c>
      <c r="C1090" s="242">
        <v>29.3</v>
      </c>
      <c r="D1090" s="243">
        <v>45.3</v>
      </c>
      <c r="E1090" s="241">
        <v>19.5</v>
      </c>
      <c r="F1090" s="242">
        <v>33.200000000000003</v>
      </c>
      <c r="G1090" s="243">
        <v>51.3</v>
      </c>
      <c r="H1090" s="241">
        <v>23.1</v>
      </c>
      <c r="I1090" s="242">
        <v>39.5</v>
      </c>
      <c r="J1090" s="243">
        <v>61</v>
      </c>
      <c r="K1090" s="241">
        <v>31</v>
      </c>
      <c r="L1090" s="242">
        <v>53.3</v>
      </c>
      <c r="M1090" s="243">
        <v>81.400000000000006</v>
      </c>
      <c r="N1090" s="241">
        <v>54.3</v>
      </c>
      <c r="O1090" s="242">
        <v>91.7</v>
      </c>
      <c r="P1090" s="243">
        <v>134.4</v>
      </c>
      <c r="Z1090" s="244">
        <f t="shared" si="49"/>
        <v>109.39999999999748</v>
      </c>
      <c r="AA1090" s="376">
        <f t="shared" si="50"/>
        <v>5.2895454580574003E-6</v>
      </c>
    </row>
    <row r="1091" spans="1:27">
      <c r="A1091" s="244">
        <f t="shared" si="48"/>
        <v>109.49999999999747</v>
      </c>
      <c r="B1091" s="241">
        <v>17.5</v>
      </c>
      <c r="C1091" s="242">
        <v>29.5</v>
      </c>
      <c r="D1091" s="243">
        <v>45.5</v>
      </c>
      <c r="E1091" s="241">
        <v>19.7</v>
      </c>
      <c r="F1091" s="242">
        <v>33.4</v>
      </c>
      <c r="G1091" s="243">
        <v>51.6</v>
      </c>
      <c r="H1091" s="241">
        <v>23.3</v>
      </c>
      <c r="I1091" s="242">
        <v>39.799999999999997</v>
      </c>
      <c r="J1091" s="243">
        <v>61.3</v>
      </c>
      <c r="K1091" s="241">
        <v>31.4</v>
      </c>
      <c r="L1091" s="242">
        <v>53.6</v>
      </c>
      <c r="M1091" s="243">
        <v>81.8</v>
      </c>
      <c r="N1091" s="241">
        <v>54.9</v>
      </c>
      <c r="O1091" s="242">
        <v>92.2</v>
      </c>
      <c r="P1091" s="243">
        <v>134.9</v>
      </c>
      <c r="Z1091" s="244">
        <f t="shared" si="49"/>
        <v>109.49999999999747</v>
      </c>
      <c r="AA1091" s="376">
        <f t="shared" si="50"/>
        <v>5.2762718243150582E-6</v>
      </c>
    </row>
    <row r="1092" spans="1:27">
      <c r="A1092" s="244">
        <f t="shared" si="48"/>
        <v>109.59999999999746</v>
      </c>
      <c r="B1092" s="241">
        <v>17.7</v>
      </c>
      <c r="C1092" s="242">
        <v>29.7</v>
      </c>
      <c r="D1092" s="243">
        <v>45.8</v>
      </c>
      <c r="E1092" s="241">
        <v>19.899999999999999</v>
      </c>
      <c r="F1092" s="242">
        <v>33.6</v>
      </c>
      <c r="G1092" s="243">
        <v>51.8</v>
      </c>
      <c r="H1092" s="241">
        <v>23.6</v>
      </c>
      <c r="I1092" s="242">
        <v>40.1</v>
      </c>
      <c r="J1092" s="243">
        <v>61.6</v>
      </c>
      <c r="K1092" s="241">
        <v>31.7</v>
      </c>
      <c r="L1092" s="242">
        <v>54</v>
      </c>
      <c r="M1092" s="243">
        <v>82.1</v>
      </c>
      <c r="N1092" s="241">
        <v>55.5</v>
      </c>
      <c r="O1092" s="242">
        <v>92.8</v>
      </c>
      <c r="P1092" s="243">
        <v>135.4</v>
      </c>
      <c r="Z1092" s="244">
        <f t="shared" si="49"/>
        <v>109.59999999999746</v>
      </c>
      <c r="AA1092" s="376">
        <f t="shared" si="50"/>
        <v>5.2630435704909629E-6</v>
      </c>
    </row>
    <row r="1093" spans="1:27">
      <c r="A1093" s="244">
        <f t="shared" si="48"/>
        <v>109.69999999999746</v>
      </c>
      <c r="B1093" s="241">
        <v>17.899999999999999</v>
      </c>
      <c r="C1093" s="242">
        <v>29.9</v>
      </c>
      <c r="D1093" s="243">
        <v>46</v>
      </c>
      <c r="E1093" s="241">
        <v>20.100000000000001</v>
      </c>
      <c r="F1093" s="242">
        <v>33.799999999999997</v>
      </c>
      <c r="G1093" s="243">
        <v>52</v>
      </c>
      <c r="H1093" s="241">
        <v>23.9</v>
      </c>
      <c r="I1093" s="242">
        <v>40.299999999999997</v>
      </c>
      <c r="J1093" s="243">
        <v>61.8</v>
      </c>
      <c r="K1093" s="241">
        <v>32.1</v>
      </c>
      <c r="L1093" s="242">
        <v>54.3</v>
      </c>
      <c r="M1093" s="243">
        <v>82.5</v>
      </c>
      <c r="N1093" s="241">
        <v>56.1</v>
      </c>
      <c r="O1093" s="242">
        <v>93.3</v>
      </c>
      <c r="P1093" s="243">
        <v>135.9</v>
      </c>
      <c r="Z1093" s="244">
        <f t="shared" si="49"/>
        <v>109.69999999999746</v>
      </c>
      <c r="AA1093" s="376">
        <f t="shared" si="50"/>
        <v>5.2498605002472216E-6</v>
      </c>
    </row>
    <row r="1094" spans="1:27">
      <c r="A1094" s="244">
        <f t="shared" si="48"/>
        <v>109.79999999999745</v>
      </c>
      <c r="B1094" s="241">
        <v>18.100000000000001</v>
      </c>
      <c r="C1094" s="242">
        <v>30.1</v>
      </c>
      <c r="D1094" s="243">
        <v>46.2</v>
      </c>
      <c r="E1094" s="241">
        <v>20.399999999999999</v>
      </c>
      <c r="F1094" s="242">
        <v>34.1</v>
      </c>
      <c r="G1094" s="243">
        <v>52.3</v>
      </c>
      <c r="H1094" s="241">
        <v>24.1</v>
      </c>
      <c r="I1094" s="242">
        <v>40.6</v>
      </c>
      <c r="J1094" s="243">
        <v>62.1</v>
      </c>
      <c r="K1094" s="241">
        <v>32.5</v>
      </c>
      <c r="L1094" s="242">
        <v>54.7</v>
      </c>
      <c r="M1094" s="243">
        <v>82.8</v>
      </c>
      <c r="N1094" s="241">
        <v>56.8</v>
      </c>
      <c r="O1094" s="242">
        <v>93.9</v>
      </c>
      <c r="P1094" s="243">
        <v>136.4</v>
      </c>
      <c r="Z1094" s="244">
        <f t="shared" si="49"/>
        <v>109.79999999999745</v>
      </c>
      <c r="AA1094" s="376">
        <f t="shared" si="50"/>
        <v>5.2367224182733087E-6</v>
      </c>
    </row>
    <row r="1095" spans="1:27">
      <c r="A1095" s="244">
        <f t="shared" ref="A1095:A1158" si="51">A1094+0.1</f>
        <v>109.89999999999745</v>
      </c>
      <c r="B1095" s="241">
        <v>18.3</v>
      </c>
      <c r="C1095" s="242">
        <v>30.3</v>
      </c>
      <c r="D1095" s="243">
        <v>46.4</v>
      </c>
      <c r="E1095" s="241">
        <v>20.6</v>
      </c>
      <c r="F1095" s="242">
        <v>34.299999999999997</v>
      </c>
      <c r="G1095" s="243">
        <v>52.5</v>
      </c>
      <c r="H1095" s="241">
        <v>24.4</v>
      </c>
      <c r="I1095" s="242">
        <v>40.9</v>
      </c>
      <c r="J1095" s="243">
        <v>62.4</v>
      </c>
      <c r="K1095" s="241">
        <v>32.799999999999997</v>
      </c>
      <c r="L1095" s="242">
        <v>55.1</v>
      </c>
      <c r="M1095" s="243">
        <v>83.2</v>
      </c>
      <c r="N1095" s="241">
        <v>57.5</v>
      </c>
      <c r="O1095" s="242">
        <v>94.5</v>
      </c>
      <c r="P1095" s="243">
        <v>136.9</v>
      </c>
      <c r="Z1095" s="244">
        <f t="shared" ref="Z1095:Z1158" si="52">Z1094+0.1</f>
        <v>109.89999999999745</v>
      </c>
      <c r="AA1095" s="376">
        <f t="shared" ref="AA1095:AA1158" si="53">T_gal(Z1095)</f>
        <v>5.2236291302797503E-6</v>
      </c>
    </row>
    <row r="1096" spans="1:27">
      <c r="A1096" s="244">
        <f t="shared" si="51"/>
        <v>109.99999999999744</v>
      </c>
      <c r="B1096" s="241">
        <v>18.5</v>
      </c>
      <c r="C1096" s="242">
        <v>30.5</v>
      </c>
      <c r="D1096" s="243">
        <v>46.6</v>
      </c>
      <c r="E1096" s="241">
        <v>20.8</v>
      </c>
      <c r="F1096" s="242">
        <v>34.6</v>
      </c>
      <c r="G1096" s="243">
        <v>52.8</v>
      </c>
      <c r="H1096" s="241">
        <v>24.7</v>
      </c>
      <c r="I1096" s="242">
        <v>41.2</v>
      </c>
      <c r="J1096" s="243">
        <v>62.7</v>
      </c>
      <c r="K1096" s="241">
        <v>33.200000000000003</v>
      </c>
      <c r="L1096" s="242">
        <v>55.5</v>
      </c>
      <c r="M1096" s="243">
        <v>83.6</v>
      </c>
      <c r="N1096" s="241">
        <v>58.1</v>
      </c>
      <c r="O1096" s="242">
        <v>95.1</v>
      </c>
      <c r="P1096" s="243">
        <v>137.5</v>
      </c>
      <c r="Z1096" s="244">
        <f t="shared" si="52"/>
        <v>109.99999999999744</v>
      </c>
      <c r="AA1096" s="376">
        <f t="shared" si="53"/>
        <v>5.2105804429918694E-6</v>
      </c>
    </row>
    <row r="1097" spans="1:27">
      <c r="A1097" s="244">
        <f t="shared" si="51"/>
        <v>110.09999999999744</v>
      </c>
      <c r="B1097" s="241">
        <v>18.7</v>
      </c>
      <c r="C1097" s="242">
        <v>30.8</v>
      </c>
      <c r="D1097" s="243">
        <v>46.9</v>
      </c>
      <c r="E1097" s="241">
        <v>21.1</v>
      </c>
      <c r="F1097" s="242">
        <v>34.799999999999997</v>
      </c>
      <c r="G1097" s="243">
        <v>53.1</v>
      </c>
      <c r="H1097" s="241">
        <v>25</v>
      </c>
      <c r="I1097" s="242">
        <v>41.5</v>
      </c>
      <c r="J1097" s="243">
        <v>63.1</v>
      </c>
      <c r="K1097" s="241">
        <v>33.700000000000003</v>
      </c>
      <c r="L1097" s="242">
        <v>55.9</v>
      </c>
      <c r="M1097" s="243">
        <v>84</v>
      </c>
      <c r="N1097" s="241">
        <v>58.8</v>
      </c>
      <c r="O1097" s="242">
        <v>95.8</v>
      </c>
      <c r="P1097" s="243">
        <v>138</v>
      </c>
      <c r="Z1097" s="244">
        <f t="shared" si="52"/>
        <v>110.09999999999744</v>
      </c>
      <c r="AA1097" s="376">
        <f t="shared" si="53"/>
        <v>5.1975761641435699E-6</v>
      </c>
    </row>
    <row r="1098" spans="1:27">
      <c r="A1098" s="244">
        <f t="shared" si="51"/>
        <v>110.19999999999743</v>
      </c>
      <c r="B1098" s="241">
        <v>18.899999999999999</v>
      </c>
      <c r="C1098" s="242">
        <v>31</v>
      </c>
      <c r="D1098" s="243">
        <v>47.1</v>
      </c>
      <c r="E1098" s="241">
        <v>21.4</v>
      </c>
      <c r="F1098" s="242">
        <v>35.1</v>
      </c>
      <c r="G1098" s="243">
        <v>53.3</v>
      </c>
      <c r="H1098" s="241">
        <v>25.3</v>
      </c>
      <c r="I1098" s="242">
        <v>41.8</v>
      </c>
      <c r="J1098" s="243">
        <v>63.4</v>
      </c>
      <c r="K1098" s="241">
        <v>34.1</v>
      </c>
      <c r="L1098" s="242">
        <v>56.3</v>
      </c>
      <c r="M1098" s="243">
        <v>84.4</v>
      </c>
      <c r="N1098" s="241">
        <v>59.6</v>
      </c>
      <c r="O1098" s="242">
        <v>96.4</v>
      </c>
      <c r="P1098" s="243">
        <v>138.6</v>
      </c>
      <c r="Z1098" s="244">
        <f t="shared" si="52"/>
        <v>110.19999999999743</v>
      </c>
      <c r="AA1098" s="376">
        <f t="shared" si="53"/>
        <v>5.1846161024711617E-6</v>
      </c>
    </row>
    <row r="1099" spans="1:27">
      <c r="A1099" s="244">
        <f t="shared" si="51"/>
        <v>110.29999999999742</v>
      </c>
      <c r="B1099" s="241">
        <v>19.2</v>
      </c>
      <c r="C1099" s="242">
        <v>31.2</v>
      </c>
      <c r="D1099" s="243">
        <v>47.4</v>
      </c>
      <c r="E1099" s="241">
        <v>21.6</v>
      </c>
      <c r="F1099" s="242">
        <v>35.4</v>
      </c>
      <c r="G1099" s="243">
        <v>53.6</v>
      </c>
      <c r="H1099" s="241">
        <v>25.7</v>
      </c>
      <c r="I1099" s="242">
        <v>42.1</v>
      </c>
      <c r="J1099" s="243">
        <v>63.7</v>
      </c>
      <c r="K1099" s="241">
        <v>34.5</v>
      </c>
      <c r="L1099" s="242">
        <v>56.7</v>
      </c>
      <c r="M1099" s="243">
        <v>84.8</v>
      </c>
      <c r="N1099" s="241">
        <v>60.3</v>
      </c>
      <c r="O1099" s="242">
        <v>97.1</v>
      </c>
      <c r="P1099" s="243">
        <v>139.19999999999999</v>
      </c>
      <c r="Z1099" s="244">
        <f t="shared" si="52"/>
        <v>110.29999999999742</v>
      </c>
      <c r="AA1099" s="376">
        <f t="shared" si="53"/>
        <v>5.171700067707233E-6</v>
      </c>
    </row>
    <row r="1100" spans="1:27">
      <c r="A1100" s="244">
        <f t="shared" si="51"/>
        <v>110.39999999999742</v>
      </c>
      <c r="B1100" s="241">
        <v>19.399999999999999</v>
      </c>
      <c r="C1100" s="242">
        <v>31.5</v>
      </c>
      <c r="D1100" s="243">
        <v>47.6</v>
      </c>
      <c r="E1100" s="241">
        <v>21.9</v>
      </c>
      <c r="F1100" s="242">
        <v>35.6</v>
      </c>
      <c r="G1100" s="243">
        <v>53.9</v>
      </c>
      <c r="H1100" s="241">
        <v>26</v>
      </c>
      <c r="I1100" s="242">
        <v>42.5</v>
      </c>
      <c r="J1100" s="243">
        <v>64</v>
      </c>
      <c r="K1100" s="241">
        <v>35</v>
      </c>
      <c r="L1100" s="242">
        <v>57.2</v>
      </c>
      <c r="M1100" s="243">
        <v>85.3</v>
      </c>
      <c r="N1100" s="241">
        <v>61.1</v>
      </c>
      <c r="O1100" s="242">
        <v>97.8</v>
      </c>
      <c r="P1100" s="243">
        <v>139.80000000000001</v>
      </c>
      <c r="Z1100" s="244">
        <f t="shared" si="52"/>
        <v>110.39999999999742</v>
      </c>
      <c r="AA1100" s="376">
        <f t="shared" si="53"/>
        <v>5.1588278705745604E-6</v>
      </c>
    </row>
    <row r="1101" spans="1:27">
      <c r="A1101" s="244">
        <f t="shared" si="51"/>
        <v>110.49999999999741</v>
      </c>
      <c r="B1101" s="241">
        <v>19.7</v>
      </c>
      <c r="C1101" s="242">
        <v>31.7</v>
      </c>
      <c r="D1101" s="243">
        <v>47.9</v>
      </c>
      <c r="E1101" s="241">
        <v>22.2</v>
      </c>
      <c r="F1101" s="242">
        <v>35.9</v>
      </c>
      <c r="G1101" s="243">
        <v>54.2</v>
      </c>
      <c r="H1101" s="241">
        <v>26.4</v>
      </c>
      <c r="I1101" s="242">
        <v>42.8</v>
      </c>
      <c r="J1101" s="243">
        <v>64.400000000000006</v>
      </c>
      <c r="K1101" s="241">
        <v>35.5</v>
      </c>
      <c r="L1101" s="242">
        <v>57.6</v>
      </c>
      <c r="M1101" s="243">
        <v>85.7</v>
      </c>
      <c r="N1101" s="241">
        <v>61.9</v>
      </c>
      <c r="O1101" s="242">
        <v>98.5</v>
      </c>
      <c r="P1101" s="243">
        <v>140.4</v>
      </c>
      <c r="Z1101" s="244">
        <f t="shared" si="52"/>
        <v>110.49999999999741</v>
      </c>
      <c r="AA1101" s="376">
        <f t="shared" si="53"/>
        <v>5.1459993227800668E-6</v>
      </c>
    </row>
    <row r="1102" spans="1:27">
      <c r="A1102" s="244">
        <f t="shared" si="51"/>
        <v>110.59999999999741</v>
      </c>
      <c r="B1102" s="241">
        <v>19.899999999999999</v>
      </c>
      <c r="C1102" s="242">
        <v>32</v>
      </c>
      <c r="D1102" s="243">
        <v>48.2</v>
      </c>
      <c r="E1102" s="241">
        <v>22.5</v>
      </c>
      <c r="F1102" s="242">
        <v>36.200000000000003</v>
      </c>
      <c r="G1102" s="243">
        <v>54.5</v>
      </c>
      <c r="H1102" s="241">
        <v>26.7</v>
      </c>
      <c r="I1102" s="242">
        <v>43.2</v>
      </c>
      <c r="J1102" s="243">
        <v>64.8</v>
      </c>
      <c r="K1102" s="241">
        <v>36</v>
      </c>
      <c r="L1102" s="242">
        <v>58.1</v>
      </c>
      <c r="M1102" s="243">
        <v>86.2</v>
      </c>
      <c r="N1102" s="241">
        <v>62.7</v>
      </c>
      <c r="O1102" s="242">
        <v>99.2</v>
      </c>
      <c r="P1102" s="243">
        <v>141</v>
      </c>
      <c r="Z1102" s="244">
        <f t="shared" si="52"/>
        <v>110.59999999999741</v>
      </c>
      <c r="AA1102" s="376">
        <f t="shared" si="53"/>
        <v>5.133214237008822E-6</v>
      </c>
    </row>
    <row r="1103" spans="1:27">
      <c r="A1103" s="244">
        <f t="shared" si="51"/>
        <v>110.6999999999974</v>
      </c>
      <c r="B1103" s="241">
        <v>20.2</v>
      </c>
      <c r="C1103" s="242">
        <v>32.299999999999997</v>
      </c>
      <c r="D1103" s="243">
        <v>48.5</v>
      </c>
      <c r="E1103" s="241">
        <v>22.8</v>
      </c>
      <c r="F1103" s="242">
        <v>36.5</v>
      </c>
      <c r="G1103" s="243">
        <v>54.8</v>
      </c>
      <c r="H1103" s="241">
        <v>27.1</v>
      </c>
      <c r="I1103" s="242">
        <v>43.5</v>
      </c>
      <c r="J1103" s="243">
        <v>65.099999999999994</v>
      </c>
      <c r="K1103" s="241">
        <v>36.5</v>
      </c>
      <c r="L1103" s="242">
        <v>58.6</v>
      </c>
      <c r="M1103" s="243">
        <v>86.7</v>
      </c>
      <c r="N1103" s="241">
        <v>63.6</v>
      </c>
      <c r="O1103" s="242">
        <v>100</v>
      </c>
      <c r="P1103" s="243">
        <v>141.69999999999999</v>
      </c>
      <c r="Z1103" s="244">
        <f t="shared" si="52"/>
        <v>110.6999999999974</v>
      </c>
      <c r="AA1103" s="376">
        <f t="shared" si="53"/>
        <v>5.1204724269180813E-6</v>
      </c>
    </row>
    <row r="1104" spans="1:27">
      <c r="A1104" s="244">
        <f t="shared" si="51"/>
        <v>110.7999999999974</v>
      </c>
      <c r="B1104" s="241">
        <v>20.5</v>
      </c>
      <c r="C1104" s="242">
        <v>32.5</v>
      </c>
      <c r="D1104" s="243">
        <v>48.7</v>
      </c>
      <c r="E1104" s="241">
        <v>23.1</v>
      </c>
      <c r="F1104" s="242">
        <v>36.9</v>
      </c>
      <c r="G1104" s="243">
        <v>55.2</v>
      </c>
      <c r="H1104" s="241">
        <v>27.5</v>
      </c>
      <c r="I1104" s="242">
        <v>43.9</v>
      </c>
      <c r="J1104" s="243">
        <v>65.5</v>
      </c>
      <c r="K1104" s="241">
        <v>37</v>
      </c>
      <c r="L1104" s="242">
        <v>59.1</v>
      </c>
      <c r="M1104" s="243">
        <v>87.1</v>
      </c>
      <c r="N1104" s="241">
        <v>64.5</v>
      </c>
      <c r="O1104" s="242">
        <v>100.8</v>
      </c>
      <c r="P1104" s="243">
        <v>142.4</v>
      </c>
      <c r="Z1104" s="244">
        <f t="shared" si="52"/>
        <v>110.7999999999974</v>
      </c>
      <c r="AA1104" s="376">
        <f t="shared" si="53"/>
        <v>5.1077737071313647E-6</v>
      </c>
    </row>
    <row r="1105" spans="1:27">
      <c r="A1105" s="244">
        <f t="shared" si="51"/>
        <v>110.89999999999739</v>
      </c>
      <c r="B1105" s="241">
        <v>20.8</v>
      </c>
      <c r="C1105" s="242">
        <v>32.799999999999997</v>
      </c>
      <c r="D1105" s="243">
        <v>49</v>
      </c>
      <c r="E1105" s="241">
        <v>23.5</v>
      </c>
      <c r="F1105" s="242">
        <v>37.200000000000003</v>
      </c>
      <c r="G1105" s="243">
        <v>55.5</v>
      </c>
      <c r="H1105" s="241">
        <v>27.9</v>
      </c>
      <c r="I1105" s="242">
        <v>44.3</v>
      </c>
      <c r="J1105" s="243">
        <v>65.900000000000006</v>
      </c>
      <c r="K1105" s="241">
        <v>37.5</v>
      </c>
      <c r="L1105" s="242">
        <v>59.6</v>
      </c>
      <c r="M1105" s="243">
        <v>87.6</v>
      </c>
      <c r="N1105" s="241">
        <v>65.400000000000006</v>
      </c>
      <c r="O1105" s="242">
        <v>101.6</v>
      </c>
      <c r="P1105" s="243">
        <v>143</v>
      </c>
      <c r="Z1105" s="244">
        <f t="shared" si="52"/>
        <v>110.89999999999739</v>
      </c>
      <c r="AA1105" s="376">
        <f t="shared" si="53"/>
        <v>5.0951178932325878E-6</v>
      </c>
    </row>
    <row r="1106" spans="1:27">
      <c r="A1106" s="244">
        <f t="shared" si="51"/>
        <v>110.99999999999739</v>
      </c>
      <c r="B1106" s="241">
        <v>21.1</v>
      </c>
      <c r="C1106" s="242">
        <v>33.1</v>
      </c>
      <c r="D1106" s="243">
        <v>49.4</v>
      </c>
      <c r="E1106" s="241">
        <v>23.8</v>
      </c>
      <c r="F1106" s="242">
        <v>37.5</v>
      </c>
      <c r="G1106" s="243">
        <v>55.8</v>
      </c>
      <c r="H1106" s="241">
        <v>28.3</v>
      </c>
      <c r="I1106" s="242">
        <v>44.7</v>
      </c>
      <c r="J1106" s="243">
        <v>66.3</v>
      </c>
      <c r="K1106" s="241">
        <v>38.1</v>
      </c>
      <c r="L1106" s="242">
        <v>60.1</v>
      </c>
      <c r="M1106" s="243">
        <v>88.1</v>
      </c>
      <c r="N1106" s="241">
        <v>66.3</v>
      </c>
      <c r="O1106" s="242">
        <v>102.4</v>
      </c>
      <c r="P1106" s="243">
        <v>143.69999999999999</v>
      </c>
      <c r="Z1106" s="244">
        <f t="shared" si="52"/>
        <v>110.99999999999739</v>
      </c>
      <c r="AA1106" s="376">
        <f t="shared" si="53"/>
        <v>5.0825048017602188E-6</v>
      </c>
    </row>
    <row r="1107" spans="1:27">
      <c r="A1107" s="244">
        <f t="shared" si="51"/>
        <v>111.09999999999738</v>
      </c>
      <c r="B1107" s="241">
        <v>21.4</v>
      </c>
      <c r="C1107" s="242">
        <v>33.4</v>
      </c>
      <c r="D1107" s="243">
        <v>49.7</v>
      </c>
      <c r="E1107" s="241">
        <v>24.2</v>
      </c>
      <c r="F1107" s="242">
        <v>37.9</v>
      </c>
      <c r="G1107" s="243">
        <v>56.2</v>
      </c>
      <c r="H1107" s="241">
        <v>28.7</v>
      </c>
      <c r="I1107" s="242">
        <v>45.1</v>
      </c>
      <c r="J1107" s="243">
        <v>66.7</v>
      </c>
      <c r="K1107" s="241">
        <v>38.700000000000003</v>
      </c>
      <c r="L1107" s="242">
        <v>60.7</v>
      </c>
      <c r="M1107" s="243">
        <v>88.7</v>
      </c>
      <c r="N1107" s="241">
        <v>67.3</v>
      </c>
      <c r="O1107" s="242">
        <v>103.2</v>
      </c>
      <c r="P1107" s="243">
        <v>144.5</v>
      </c>
      <c r="R1107" s="245"/>
      <c r="Z1107" s="244">
        <f t="shared" si="52"/>
        <v>111.09999999999738</v>
      </c>
      <c r="AA1107" s="376">
        <f t="shared" si="53"/>
        <v>5.0699342502014845E-6</v>
      </c>
    </row>
    <row r="1108" spans="1:27">
      <c r="A1108" s="244">
        <f t="shared" si="51"/>
        <v>111.19999999999737</v>
      </c>
      <c r="B1108" s="241">
        <v>21.7</v>
      </c>
      <c r="C1108" s="242">
        <v>33.799999999999997</v>
      </c>
      <c r="D1108" s="243">
        <v>50</v>
      </c>
      <c r="E1108" s="241">
        <v>24.5</v>
      </c>
      <c r="F1108" s="242">
        <v>38.200000000000003</v>
      </c>
      <c r="G1108" s="243">
        <v>56.6</v>
      </c>
      <c r="H1108" s="241">
        <v>29.2</v>
      </c>
      <c r="I1108" s="242">
        <v>45.6</v>
      </c>
      <c r="J1108" s="243">
        <v>67.099999999999994</v>
      </c>
      <c r="K1108" s="241">
        <v>39.299999999999997</v>
      </c>
      <c r="L1108" s="242">
        <v>61.2</v>
      </c>
      <c r="M1108" s="243">
        <v>89.2</v>
      </c>
      <c r="N1108" s="241">
        <v>68.3</v>
      </c>
      <c r="O1108" s="242">
        <v>104.1</v>
      </c>
      <c r="P1108" s="243">
        <v>145.19999999999999</v>
      </c>
      <c r="R1108" s="245"/>
      <c r="Z1108" s="244">
        <f t="shared" si="52"/>
        <v>111.19999999999737</v>
      </c>
      <c r="AA1108" s="376">
        <f t="shared" si="53"/>
        <v>5.0574060569866206E-6</v>
      </c>
    </row>
    <row r="1109" spans="1:27">
      <c r="A1109" s="244">
        <f t="shared" si="51"/>
        <v>111.29999999999737</v>
      </c>
      <c r="B1109" s="241">
        <v>22.1</v>
      </c>
      <c r="C1109" s="242">
        <v>34.1</v>
      </c>
      <c r="D1109" s="243">
        <v>50.3</v>
      </c>
      <c r="E1109" s="241">
        <v>24.9</v>
      </c>
      <c r="F1109" s="242">
        <v>38.6</v>
      </c>
      <c r="G1109" s="243">
        <v>56.9</v>
      </c>
      <c r="H1109" s="241">
        <v>29.6</v>
      </c>
      <c r="I1109" s="242">
        <v>46</v>
      </c>
      <c r="J1109" s="243">
        <v>67.599999999999994</v>
      </c>
      <c r="K1109" s="241">
        <v>39.9</v>
      </c>
      <c r="L1109" s="242">
        <v>61.8</v>
      </c>
      <c r="M1109" s="243">
        <v>89.8</v>
      </c>
      <c r="N1109" s="241">
        <v>69.400000000000006</v>
      </c>
      <c r="O1109" s="242">
        <v>105</v>
      </c>
      <c r="P1109" s="243">
        <v>146</v>
      </c>
      <c r="R1109" s="245"/>
      <c r="Z1109" s="244">
        <f t="shared" si="52"/>
        <v>111.29999999999737</v>
      </c>
      <c r="AA1109" s="376">
        <f t="shared" si="53"/>
        <v>5.0449200414831535E-6</v>
      </c>
    </row>
    <row r="1110" spans="1:27">
      <c r="A1110" s="244">
        <f t="shared" si="51"/>
        <v>111.39999999999736</v>
      </c>
      <c r="B1110" s="241">
        <v>22.4</v>
      </c>
      <c r="C1110" s="242">
        <v>34.5</v>
      </c>
      <c r="D1110" s="243">
        <v>50.7</v>
      </c>
      <c r="E1110" s="241">
        <v>25.3</v>
      </c>
      <c r="F1110" s="242">
        <v>39</v>
      </c>
      <c r="G1110" s="243">
        <v>57.3</v>
      </c>
      <c r="H1110" s="241">
        <v>30.1</v>
      </c>
      <c r="I1110" s="242">
        <v>46.5</v>
      </c>
      <c r="J1110" s="243">
        <v>68</v>
      </c>
      <c r="K1110" s="241">
        <v>40.6</v>
      </c>
      <c r="L1110" s="242">
        <v>62.4</v>
      </c>
      <c r="M1110" s="243">
        <v>90.3</v>
      </c>
      <c r="N1110" s="241">
        <v>70.5</v>
      </c>
      <c r="O1110" s="242">
        <v>105.9</v>
      </c>
      <c r="P1110" s="243">
        <v>146.69999999999999</v>
      </c>
      <c r="R1110" s="245"/>
      <c r="Z1110" s="244">
        <f t="shared" si="52"/>
        <v>111.39999999999736</v>
      </c>
      <c r="AA1110" s="376">
        <f t="shared" si="53"/>
        <v>5.0324760239902252E-6</v>
      </c>
    </row>
    <row r="1111" spans="1:27">
      <c r="A1111" s="244">
        <f t="shared" si="51"/>
        <v>111.49999999999736</v>
      </c>
      <c r="B1111" s="241">
        <v>22.8</v>
      </c>
      <c r="C1111" s="242">
        <v>34.799999999999997</v>
      </c>
      <c r="D1111" s="243">
        <v>51</v>
      </c>
      <c r="E1111" s="241">
        <v>25.8</v>
      </c>
      <c r="F1111" s="242">
        <v>39.4</v>
      </c>
      <c r="G1111" s="243">
        <v>57.7</v>
      </c>
      <c r="H1111" s="241">
        <v>30.6</v>
      </c>
      <c r="I1111" s="242">
        <v>47</v>
      </c>
      <c r="J1111" s="243">
        <v>68.5</v>
      </c>
      <c r="K1111" s="241">
        <v>41.2</v>
      </c>
      <c r="L1111" s="242">
        <v>63.1</v>
      </c>
      <c r="M1111" s="243">
        <v>90.9</v>
      </c>
      <c r="N1111" s="241">
        <v>71.599999999999994</v>
      </c>
      <c r="O1111" s="242">
        <v>106.9</v>
      </c>
      <c r="P1111" s="243">
        <v>147.5</v>
      </c>
      <c r="R1111" s="245"/>
      <c r="Z1111" s="244">
        <f t="shared" si="52"/>
        <v>111.49999999999736</v>
      </c>
      <c r="AA1111" s="376">
        <f t="shared" si="53"/>
        <v>5.0200738257329595E-6</v>
      </c>
    </row>
    <row r="1112" spans="1:27">
      <c r="A1112" s="244">
        <f t="shared" si="51"/>
        <v>111.59999999999735</v>
      </c>
      <c r="B1112" s="241">
        <v>23.2</v>
      </c>
      <c r="C1112" s="242">
        <v>35.200000000000003</v>
      </c>
      <c r="D1112" s="243">
        <v>51.4</v>
      </c>
      <c r="E1112" s="241">
        <v>26.2</v>
      </c>
      <c r="F1112" s="242">
        <v>39.799999999999997</v>
      </c>
      <c r="G1112" s="243">
        <v>58.2</v>
      </c>
      <c r="H1112" s="241">
        <v>31.2</v>
      </c>
      <c r="I1112" s="242">
        <v>47.5</v>
      </c>
      <c r="J1112" s="243">
        <v>69</v>
      </c>
      <c r="K1112" s="241">
        <v>42</v>
      </c>
      <c r="L1112" s="242">
        <v>63.7</v>
      </c>
      <c r="M1112" s="243">
        <v>91.6</v>
      </c>
      <c r="N1112" s="241">
        <v>72.7</v>
      </c>
      <c r="O1112" s="242">
        <v>107.9</v>
      </c>
      <c r="P1112" s="243">
        <v>148.4</v>
      </c>
      <c r="R1112" s="245"/>
      <c r="Z1112" s="244">
        <f t="shared" si="52"/>
        <v>111.59999999999735</v>
      </c>
      <c r="AA1112" s="376">
        <f t="shared" si="53"/>
        <v>5.0077132688568634E-6</v>
      </c>
    </row>
    <row r="1113" spans="1:27">
      <c r="A1113" s="244">
        <f t="shared" si="51"/>
        <v>111.69999999999735</v>
      </c>
      <c r="B1113" s="241">
        <v>23.6</v>
      </c>
      <c r="C1113" s="242">
        <v>35.6</v>
      </c>
      <c r="D1113" s="243">
        <v>51.8</v>
      </c>
      <c r="E1113" s="241">
        <v>26.6</v>
      </c>
      <c r="F1113" s="242">
        <v>40.299999999999997</v>
      </c>
      <c r="G1113" s="243">
        <v>58.6</v>
      </c>
      <c r="H1113" s="241">
        <v>31.7</v>
      </c>
      <c r="I1113" s="242">
        <v>48</v>
      </c>
      <c r="J1113" s="243">
        <v>69.5</v>
      </c>
      <c r="K1113" s="241">
        <v>42.7</v>
      </c>
      <c r="L1113" s="242">
        <v>64.400000000000006</v>
      </c>
      <c r="M1113" s="243">
        <v>92.2</v>
      </c>
      <c r="N1113" s="241">
        <v>73.900000000000006</v>
      </c>
      <c r="O1113" s="242">
        <v>108.9</v>
      </c>
      <c r="P1113" s="243">
        <v>149.19999999999999</v>
      </c>
      <c r="R1113" s="245"/>
      <c r="Z1113" s="244">
        <f t="shared" si="52"/>
        <v>111.69999999999735</v>
      </c>
      <c r="AA1113" s="376">
        <f t="shared" si="53"/>
        <v>4.995394176422271E-6</v>
      </c>
    </row>
    <row r="1114" spans="1:27">
      <c r="A1114" s="244">
        <f t="shared" si="51"/>
        <v>111.79999999999734</v>
      </c>
      <c r="B1114" s="241">
        <v>24</v>
      </c>
      <c r="C1114" s="242">
        <v>36</v>
      </c>
      <c r="D1114" s="243">
        <v>52.2</v>
      </c>
      <c r="E1114" s="241">
        <v>27.1</v>
      </c>
      <c r="F1114" s="242">
        <v>40.700000000000003</v>
      </c>
      <c r="G1114" s="243">
        <v>59</v>
      </c>
      <c r="H1114" s="241">
        <v>32.299999999999997</v>
      </c>
      <c r="I1114" s="242">
        <v>48.5</v>
      </c>
      <c r="J1114" s="243">
        <v>70</v>
      </c>
      <c r="K1114" s="241">
        <v>43.4</v>
      </c>
      <c r="L1114" s="242">
        <v>65.099999999999994</v>
      </c>
      <c r="M1114" s="243">
        <v>92.8</v>
      </c>
      <c r="N1114" s="241">
        <v>75.2</v>
      </c>
      <c r="O1114" s="242">
        <v>110</v>
      </c>
      <c r="P1114" s="243">
        <v>150.1</v>
      </c>
      <c r="R1114" s="245"/>
      <c r="Z1114" s="244">
        <f t="shared" si="52"/>
        <v>111.79999999999734</v>
      </c>
      <c r="AA1114" s="376">
        <f t="shared" si="53"/>
        <v>4.9831163723988308E-6</v>
      </c>
    </row>
    <row r="1115" spans="1:27">
      <c r="A1115" s="244">
        <f t="shared" si="51"/>
        <v>111.89999999999733</v>
      </c>
      <c r="B1115" s="241">
        <v>24.4</v>
      </c>
      <c r="C1115" s="242">
        <v>36.4</v>
      </c>
      <c r="D1115" s="243">
        <v>52.6</v>
      </c>
      <c r="E1115" s="241">
        <v>27.6</v>
      </c>
      <c r="F1115" s="242">
        <v>41.2</v>
      </c>
      <c r="G1115" s="243">
        <v>59.5</v>
      </c>
      <c r="H1115" s="241">
        <v>32.9</v>
      </c>
      <c r="I1115" s="242">
        <v>49.1</v>
      </c>
      <c r="J1115" s="243">
        <v>70.599999999999994</v>
      </c>
      <c r="K1115" s="241">
        <v>44.2</v>
      </c>
      <c r="L1115" s="242">
        <v>65.8</v>
      </c>
      <c r="M1115" s="243">
        <v>93.5</v>
      </c>
      <c r="N1115" s="241">
        <v>76.5</v>
      </c>
      <c r="O1115" s="242">
        <v>111.1</v>
      </c>
      <c r="P1115" s="243">
        <v>151</v>
      </c>
      <c r="R1115" s="245"/>
      <c r="Z1115" s="244">
        <f t="shared" si="52"/>
        <v>111.89999999999733</v>
      </c>
      <c r="AA1115" s="376">
        <f t="shared" si="53"/>
        <v>4.9708796816600094E-6</v>
      </c>
    </row>
    <row r="1116" spans="1:27">
      <c r="A1116" s="244">
        <f t="shared" si="51"/>
        <v>111.99999999999733</v>
      </c>
      <c r="B1116" s="241">
        <v>24.9</v>
      </c>
      <c r="C1116" s="242">
        <v>36.799999999999997</v>
      </c>
      <c r="D1116" s="243">
        <v>53</v>
      </c>
      <c r="E1116" s="241">
        <v>28.1</v>
      </c>
      <c r="F1116" s="242">
        <v>41.7</v>
      </c>
      <c r="G1116" s="243">
        <v>60</v>
      </c>
      <c r="H1116" s="241">
        <v>33.5</v>
      </c>
      <c r="I1116" s="242">
        <v>49.7</v>
      </c>
      <c r="J1116" s="243">
        <v>71.099999999999994</v>
      </c>
      <c r="K1116" s="241">
        <v>45.1</v>
      </c>
      <c r="L1116" s="242">
        <v>66.599999999999994</v>
      </c>
      <c r="M1116" s="243">
        <v>94.2</v>
      </c>
      <c r="N1116" s="241">
        <v>77.8</v>
      </c>
      <c r="O1116" s="242">
        <v>112.2</v>
      </c>
      <c r="P1116" s="243">
        <v>151.9</v>
      </c>
      <c r="R1116" s="245"/>
      <c r="Z1116" s="244">
        <f t="shared" si="52"/>
        <v>111.99999999999733</v>
      </c>
      <c r="AA1116" s="376">
        <f t="shared" si="53"/>
        <v>4.9586839299776659E-6</v>
      </c>
    </row>
    <row r="1117" spans="1:27">
      <c r="A1117" s="244">
        <f t="shared" si="51"/>
        <v>112.09999999999732</v>
      </c>
      <c r="B1117" s="241">
        <v>25.3</v>
      </c>
      <c r="C1117" s="242">
        <v>37.299999999999997</v>
      </c>
      <c r="D1117" s="243">
        <v>53.5</v>
      </c>
      <c r="E1117" s="241">
        <v>28.7</v>
      </c>
      <c r="F1117" s="242">
        <v>42.2</v>
      </c>
      <c r="G1117" s="243">
        <v>60.5</v>
      </c>
      <c r="H1117" s="241">
        <v>34.1</v>
      </c>
      <c r="I1117" s="242">
        <v>50.3</v>
      </c>
      <c r="J1117" s="243">
        <v>71.7</v>
      </c>
      <c r="K1117" s="241">
        <v>45.9</v>
      </c>
      <c r="L1117" s="242">
        <v>67.400000000000006</v>
      </c>
      <c r="M1117" s="243">
        <v>95</v>
      </c>
      <c r="N1117" s="241">
        <v>79.2</v>
      </c>
      <c r="O1117" s="242">
        <v>113.4</v>
      </c>
      <c r="P1117" s="243">
        <v>152.9</v>
      </c>
      <c r="R1117" s="245"/>
      <c r="Z1117" s="244">
        <f t="shared" si="52"/>
        <v>112.09999999999732</v>
      </c>
      <c r="AA1117" s="376">
        <f t="shared" si="53"/>
        <v>4.9465289440166314E-6</v>
      </c>
    </row>
    <row r="1118" spans="1:27">
      <c r="A1118" s="244">
        <f t="shared" si="51"/>
        <v>112.19999999999732</v>
      </c>
      <c r="B1118" s="241">
        <v>25.8</v>
      </c>
      <c r="C1118" s="242">
        <v>37.700000000000003</v>
      </c>
      <c r="D1118" s="243">
        <v>54</v>
      </c>
      <c r="E1118" s="241">
        <v>29.2</v>
      </c>
      <c r="F1118" s="242">
        <v>42.7</v>
      </c>
      <c r="G1118" s="243">
        <v>61</v>
      </c>
      <c r="H1118" s="241">
        <v>34.799999999999997</v>
      </c>
      <c r="I1118" s="242">
        <v>50.9</v>
      </c>
      <c r="J1118" s="243">
        <v>72.3</v>
      </c>
      <c r="K1118" s="241">
        <v>46.8</v>
      </c>
      <c r="L1118" s="242">
        <v>68.2</v>
      </c>
      <c r="M1118" s="243">
        <v>95.7</v>
      </c>
      <c r="N1118" s="241">
        <v>80.599999999999994</v>
      </c>
      <c r="O1118" s="242">
        <v>114.6</v>
      </c>
      <c r="P1118" s="243">
        <v>153.9</v>
      </c>
      <c r="R1118" s="245"/>
      <c r="Z1118" s="244">
        <f t="shared" si="52"/>
        <v>112.19999999999732</v>
      </c>
      <c r="AA1118" s="376">
        <f t="shared" si="53"/>
        <v>4.934414551329354E-6</v>
      </c>
    </row>
    <row r="1119" spans="1:27">
      <c r="A1119" s="244">
        <f t="shared" si="51"/>
        <v>112.29999999999731</v>
      </c>
      <c r="B1119" s="241">
        <v>26.3</v>
      </c>
      <c r="C1119" s="242">
        <v>38.200000000000003</v>
      </c>
      <c r="D1119" s="243">
        <v>54.4</v>
      </c>
      <c r="E1119" s="241">
        <v>29.8</v>
      </c>
      <c r="F1119" s="242">
        <v>43.3</v>
      </c>
      <c r="G1119" s="243">
        <v>61.5</v>
      </c>
      <c r="H1119" s="241">
        <v>35.5</v>
      </c>
      <c r="I1119" s="242">
        <v>51.5</v>
      </c>
      <c r="J1119" s="243">
        <v>72.900000000000006</v>
      </c>
      <c r="K1119" s="241">
        <v>47.7</v>
      </c>
      <c r="L1119" s="242">
        <v>69</v>
      </c>
      <c r="M1119" s="243">
        <v>96.5</v>
      </c>
      <c r="N1119" s="241">
        <v>82.1</v>
      </c>
      <c r="O1119" s="242">
        <v>115.9</v>
      </c>
      <c r="P1119" s="243">
        <v>154.9</v>
      </c>
      <c r="R1119" s="245"/>
      <c r="Z1119" s="244">
        <f t="shared" si="52"/>
        <v>112.29999999999731</v>
      </c>
      <c r="AA1119" s="376">
        <f t="shared" si="53"/>
        <v>4.9223405803505604E-6</v>
      </c>
    </row>
    <row r="1120" spans="1:27">
      <c r="A1120" s="244">
        <f t="shared" si="51"/>
        <v>112.39999999999731</v>
      </c>
      <c r="B1120" s="241">
        <v>26.9</v>
      </c>
      <c r="C1120" s="242">
        <v>38.700000000000003</v>
      </c>
      <c r="D1120" s="243">
        <v>54.9</v>
      </c>
      <c r="E1120" s="241">
        <v>30.4</v>
      </c>
      <c r="F1120" s="242">
        <v>43.9</v>
      </c>
      <c r="G1120" s="243">
        <v>62.1</v>
      </c>
      <c r="H1120" s="241">
        <v>36.200000000000003</v>
      </c>
      <c r="I1120" s="242">
        <v>52.2</v>
      </c>
      <c r="J1120" s="243">
        <v>73.599999999999994</v>
      </c>
      <c r="K1120" s="241">
        <v>48.7</v>
      </c>
      <c r="L1120" s="242">
        <v>69.900000000000006</v>
      </c>
      <c r="M1120" s="243">
        <v>97.3</v>
      </c>
      <c r="N1120" s="241">
        <v>83.6</v>
      </c>
      <c r="O1120" s="242">
        <v>117.2</v>
      </c>
      <c r="P1120" s="243">
        <v>156</v>
      </c>
      <c r="R1120" s="245"/>
      <c r="Z1120" s="244">
        <f t="shared" si="52"/>
        <v>112.39999999999731</v>
      </c>
      <c r="AA1120" s="376">
        <f t="shared" si="53"/>
        <v>4.9103068603919612E-6</v>
      </c>
    </row>
    <row r="1121" spans="1:27">
      <c r="A1121" s="244">
        <f t="shared" si="51"/>
        <v>112.4999999999973</v>
      </c>
      <c r="B1121" s="241">
        <v>27.4</v>
      </c>
      <c r="C1121" s="242">
        <v>39.299999999999997</v>
      </c>
      <c r="D1121" s="243">
        <v>55.5</v>
      </c>
      <c r="E1121" s="241">
        <v>31</v>
      </c>
      <c r="F1121" s="242">
        <v>44.5</v>
      </c>
      <c r="G1121" s="243">
        <v>62.7</v>
      </c>
      <c r="H1121" s="241">
        <v>36.9</v>
      </c>
      <c r="I1121" s="242">
        <v>52.9</v>
      </c>
      <c r="J1121" s="243">
        <v>74.2</v>
      </c>
      <c r="K1121" s="241">
        <v>49.7</v>
      </c>
      <c r="L1121" s="242">
        <v>70.900000000000006</v>
      </c>
      <c r="M1121" s="243">
        <v>98.1</v>
      </c>
      <c r="N1121" s="241">
        <v>85.2</v>
      </c>
      <c r="O1121" s="242">
        <v>118.5</v>
      </c>
      <c r="P1121" s="243">
        <v>157.1</v>
      </c>
      <c r="R1121" s="245"/>
      <c r="Z1121" s="244">
        <f t="shared" si="52"/>
        <v>112.4999999999973</v>
      </c>
      <c r="AA1121" s="376">
        <f t="shared" si="53"/>
        <v>4.8983132216369982E-6</v>
      </c>
    </row>
    <row r="1122" spans="1:27">
      <c r="A1122" s="244">
        <f t="shared" si="51"/>
        <v>112.59999999999729</v>
      </c>
      <c r="B1122" s="241">
        <v>28</v>
      </c>
      <c r="C1122" s="242">
        <v>39.799999999999997</v>
      </c>
      <c r="D1122" s="243">
        <v>56</v>
      </c>
      <c r="E1122" s="241">
        <v>31.7</v>
      </c>
      <c r="F1122" s="242">
        <v>45.1</v>
      </c>
      <c r="G1122" s="243">
        <v>63.3</v>
      </c>
      <c r="H1122" s="241">
        <v>37.700000000000003</v>
      </c>
      <c r="I1122" s="242">
        <v>53.7</v>
      </c>
      <c r="J1122" s="243">
        <v>74.900000000000006</v>
      </c>
      <c r="K1122" s="241">
        <v>50.7</v>
      </c>
      <c r="L1122" s="242">
        <v>71.8</v>
      </c>
      <c r="M1122" s="243">
        <v>99</v>
      </c>
      <c r="N1122" s="241">
        <v>86.9</v>
      </c>
      <c r="O1122" s="242">
        <v>119.9</v>
      </c>
      <c r="P1122" s="243">
        <v>158.19999999999999</v>
      </c>
      <c r="R1122" s="245"/>
      <c r="Z1122" s="244">
        <f t="shared" si="52"/>
        <v>112.59999999999729</v>
      </c>
      <c r="AA1122" s="376">
        <f t="shared" si="53"/>
        <v>4.8863594951356164E-6</v>
      </c>
    </row>
    <row r="1123" spans="1:27">
      <c r="A1123" s="244">
        <f t="shared" si="51"/>
        <v>112.69999999999729</v>
      </c>
      <c r="B1123" s="241">
        <v>28.6</v>
      </c>
      <c r="C1123" s="242">
        <v>40.4</v>
      </c>
      <c r="D1123" s="243">
        <v>56.6</v>
      </c>
      <c r="E1123" s="241">
        <v>32.4</v>
      </c>
      <c r="F1123" s="242">
        <v>45.7</v>
      </c>
      <c r="G1123" s="243">
        <v>63.9</v>
      </c>
      <c r="H1123" s="241">
        <v>38.5</v>
      </c>
      <c r="I1123" s="242">
        <v>54.4</v>
      </c>
      <c r="J1123" s="243">
        <v>75.7</v>
      </c>
      <c r="K1123" s="241">
        <v>51.8</v>
      </c>
      <c r="L1123" s="242">
        <v>72.8</v>
      </c>
      <c r="M1123" s="243">
        <v>99.9</v>
      </c>
      <c r="N1123" s="241">
        <v>88.6</v>
      </c>
      <c r="O1123" s="242">
        <v>121.4</v>
      </c>
      <c r="P1123" s="243">
        <v>159.4</v>
      </c>
      <c r="R1123" s="245"/>
      <c r="Z1123" s="244">
        <f t="shared" si="52"/>
        <v>112.69999999999729</v>
      </c>
      <c r="AA1123" s="376">
        <f t="shared" si="53"/>
        <v>4.8744455127990852E-6</v>
      </c>
    </row>
    <row r="1124" spans="1:27">
      <c r="A1124" s="244">
        <f t="shared" si="51"/>
        <v>112.79999999999728</v>
      </c>
      <c r="B1124" s="241">
        <v>29.3</v>
      </c>
      <c r="C1124" s="242">
        <v>41</v>
      </c>
      <c r="D1124" s="243">
        <v>57.1</v>
      </c>
      <c r="E1124" s="241">
        <v>33.1</v>
      </c>
      <c r="F1124" s="242">
        <v>46.4</v>
      </c>
      <c r="G1124" s="243">
        <v>64.5</v>
      </c>
      <c r="H1124" s="241">
        <v>39.4</v>
      </c>
      <c r="I1124" s="242">
        <v>55.2</v>
      </c>
      <c r="J1124" s="243">
        <v>76.400000000000006</v>
      </c>
      <c r="K1124" s="241">
        <v>53</v>
      </c>
      <c r="L1124" s="242">
        <v>73.8</v>
      </c>
      <c r="M1124" s="243">
        <v>100.9</v>
      </c>
      <c r="N1124" s="241">
        <v>90.4</v>
      </c>
      <c r="O1124" s="242">
        <v>122.9</v>
      </c>
      <c r="P1124" s="243">
        <v>160.6</v>
      </c>
      <c r="R1124" s="245"/>
      <c r="Z1124" s="244">
        <f t="shared" si="52"/>
        <v>112.79999999999728</v>
      </c>
      <c r="AA1124" s="376">
        <f t="shared" si="53"/>
        <v>4.8625711073948412E-6</v>
      </c>
    </row>
    <row r="1125" spans="1:27">
      <c r="A1125" s="244">
        <f t="shared" si="51"/>
        <v>112.89999999999728</v>
      </c>
      <c r="B1125" s="241">
        <v>29.9</v>
      </c>
      <c r="C1125" s="242">
        <v>41.6</v>
      </c>
      <c r="D1125" s="243">
        <v>57.8</v>
      </c>
      <c r="E1125" s="241">
        <v>33.9</v>
      </c>
      <c r="F1125" s="242">
        <v>47.1</v>
      </c>
      <c r="G1125" s="243">
        <v>65.2</v>
      </c>
      <c r="H1125" s="241">
        <v>40.299999999999997</v>
      </c>
      <c r="I1125" s="242">
        <v>56.1</v>
      </c>
      <c r="J1125" s="243">
        <v>77.2</v>
      </c>
      <c r="K1125" s="241">
        <v>54.2</v>
      </c>
      <c r="L1125" s="242">
        <v>74.900000000000006</v>
      </c>
      <c r="M1125" s="243">
        <v>101.8</v>
      </c>
      <c r="N1125" s="241">
        <v>92.3</v>
      </c>
      <c r="O1125" s="242">
        <v>124.4</v>
      </c>
      <c r="P1125" s="243">
        <v>161.80000000000001</v>
      </c>
      <c r="R1125" s="245"/>
      <c r="Z1125" s="244">
        <f t="shared" si="52"/>
        <v>112.89999999999728</v>
      </c>
      <c r="AA1125" s="376">
        <f t="shared" si="53"/>
        <v>4.8507361125413791E-6</v>
      </c>
    </row>
    <row r="1126" spans="1:27">
      <c r="A1126" s="244">
        <f t="shared" si="51"/>
        <v>112.99999999999727</v>
      </c>
      <c r="B1126" s="241">
        <v>30.6</v>
      </c>
      <c r="C1126" s="242">
        <v>42.3</v>
      </c>
      <c r="D1126" s="243">
        <v>58.4</v>
      </c>
      <c r="E1126" s="241">
        <v>34.700000000000003</v>
      </c>
      <c r="F1126" s="242">
        <v>47.9</v>
      </c>
      <c r="G1126" s="243">
        <v>65.900000000000006</v>
      </c>
      <c r="H1126" s="241">
        <v>41.3</v>
      </c>
      <c r="I1126" s="242">
        <v>56.9</v>
      </c>
      <c r="J1126" s="243">
        <v>78</v>
      </c>
      <c r="K1126" s="241">
        <v>55.4</v>
      </c>
      <c r="L1126" s="242">
        <v>76</v>
      </c>
      <c r="M1126" s="243">
        <v>102.9</v>
      </c>
      <c r="N1126" s="241">
        <v>94.2</v>
      </c>
      <c r="O1126" s="242">
        <v>126.1</v>
      </c>
      <c r="P1126" s="243">
        <v>163.1</v>
      </c>
      <c r="R1126" s="245"/>
      <c r="Z1126" s="244">
        <f t="shared" si="52"/>
        <v>112.99999999999727</v>
      </c>
      <c r="AA1126" s="376">
        <f t="shared" si="53"/>
        <v>4.8389403627031661E-6</v>
      </c>
    </row>
    <row r="1127" spans="1:27">
      <c r="A1127" s="244">
        <f t="shared" si="51"/>
        <v>113.09999999999727</v>
      </c>
      <c r="B1127" s="241">
        <v>31.4</v>
      </c>
      <c r="C1127" s="242">
        <v>43</v>
      </c>
      <c r="D1127" s="243">
        <v>59.1</v>
      </c>
      <c r="E1127" s="241">
        <v>35.5</v>
      </c>
      <c r="F1127" s="242">
        <v>48.7</v>
      </c>
      <c r="G1127" s="243">
        <v>66.7</v>
      </c>
      <c r="H1127" s="241">
        <v>42.2</v>
      </c>
      <c r="I1127" s="242">
        <v>57.9</v>
      </c>
      <c r="J1127" s="243">
        <v>78.900000000000006</v>
      </c>
      <c r="K1127" s="241">
        <v>56.7</v>
      </c>
      <c r="L1127" s="242">
        <v>77.2</v>
      </c>
      <c r="M1127" s="243">
        <v>103.9</v>
      </c>
      <c r="N1127" s="241">
        <v>96.2</v>
      </c>
      <c r="O1127" s="242">
        <v>127.7</v>
      </c>
      <c r="P1127" s="243">
        <v>164.5</v>
      </c>
      <c r="R1127" s="245"/>
      <c r="Z1127" s="244">
        <f t="shared" si="52"/>
        <v>113.09999999999727</v>
      </c>
      <c r="AA1127" s="376">
        <f t="shared" si="53"/>
        <v>4.8271836931856037E-6</v>
      </c>
    </row>
    <row r="1128" spans="1:27">
      <c r="A1128" s="244">
        <f t="shared" si="51"/>
        <v>113.19999999999726</v>
      </c>
      <c r="B1128" s="241">
        <v>32.1</v>
      </c>
      <c r="C1128" s="242">
        <v>43.7</v>
      </c>
      <c r="D1128" s="243">
        <v>59.8</v>
      </c>
      <c r="E1128" s="241">
        <v>36.4</v>
      </c>
      <c r="F1128" s="242">
        <v>49.5</v>
      </c>
      <c r="G1128" s="243">
        <v>67.5</v>
      </c>
      <c r="H1128" s="241">
        <v>43.3</v>
      </c>
      <c r="I1128" s="242">
        <v>58.8</v>
      </c>
      <c r="J1128" s="243">
        <v>79.8</v>
      </c>
      <c r="K1128" s="241">
        <v>58.1</v>
      </c>
      <c r="L1128" s="242">
        <v>78.5</v>
      </c>
      <c r="M1128" s="243">
        <v>105</v>
      </c>
      <c r="N1128" s="241">
        <v>98.3</v>
      </c>
      <c r="O1128" s="242">
        <v>129.5</v>
      </c>
      <c r="P1128" s="243">
        <v>165.9</v>
      </c>
      <c r="R1128" s="245"/>
      <c r="Z1128" s="244">
        <f t="shared" si="52"/>
        <v>113.19999999999726</v>
      </c>
      <c r="AA1128" s="376">
        <f t="shared" si="53"/>
        <v>4.8154659401300132E-6</v>
      </c>
    </row>
    <row r="1129" spans="1:27">
      <c r="A1129" s="244">
        <f t="shared" si="51"/>
        <v>113.29999999999725</v>
      </c>
      <c r="B1129" s="241">
        <v>32.9</v>
      </c>
      <c r="C1129" s="242">
        <v>44.5</v>
      </c>
      <c r="D1129" s="243">
        <v>60.5</v>
      </c>
      <c r="E1129" s="241">
        <v>37.299999999999997</v>
      </c>
      <c r="F1129" s="242">
        <v>50.3</v>
      </c>
      <c r="G1129" s="243">
        <v>68.3</v>
      </c>
      <c r="H1129" s="241">
        <v>44.4</v>
      </c>
      <c r="I1129" s="242">
        <v>59.8</v>
      </c>
      <c r="J1129" s="243">
        <v>80.7</v>
      </c>
      <c r="K1129" s="241">
        <v>59.5</v>
      </c>
      <c r="L1129" s="242">
        <v>79.7</v>
      </c>
      <c r="M1129" s="243">
        <v>106.2</v>
      </c>
      <c r="N1129" s="241">
        <v>100.5</v>
      </c>
      <c r="O1129" s="242">
        <v>131.30000000000001</v>
      </c>
      <c r="P1129" s="243">
        <v>167.3</v>
      </c>
      <c r="R1129" s="245"/>
      <c r="Z1129" s="244">
        <f t="shared" si="52"/>
        <v>113.29999999999725</v>
      </c>
      <c r="AA1129" s="376">
        <f t="shared" si="53"/>
        <v>4.8037869405086595E-6</v>
      </c>
    </row>
    <row r="1130" spans="1:27">
      <c r="A1130" s="244">
        <f t="shared" si="51"/>
        <v>113.39999999999725</v>
      </c>
      <c r="B1130" s="241">
        <v>33.799999999999997</v>
      </c>
      <c r="C1130" s="242">
        <v>45.3</v>
      </c>
      <c r="D1130" s="243">
        <v>61.2</v>
      </c>
      <c r="E1130" s="241">
        <v>38.200000000000003</v>
      </c>
      <c r="F1130" s="242">
        <v>51.2</v>
      </c>
      <c r="G1130" s="243">
        <v>69.099999999999994</v>
      </c>
      <c r="H1130" s="241">
        <v>45.5</v>
      </c>
      <c r="I1130" s="242">
        <v>60.9</v>
      </c>
      <c r="J1130" s="243">
        <v>81.7</v>
      </c>
      <c r="K1130" s="241">
        <v>61</v>
      </c>
      <c r="L1130" s="242">
        <v>81.099999999999994</v>
      </c>
      <c r="M1130" s="243">
        <v>107.4</v>
      </c>
      <c r="N1130" s="241">
        <v>102.7</v>
      </c>
      <c r="O1130" s="242">
        <v>133.19999999999999</v>
      </c>
      <c r="P1130" s="243">
        <v>168.8</v>
      </c>
      <c r="R1130" s="245"/>
      <c r="Z1130" s="244">
        <f t="shared" si="52"/>
        <v>113.39999999999725</v>
      </c>
      <c r="AA1130" s="376">
        <f t="shared" si="53"/>
        <v>4.7921465321198061E-6</v>
      </c>
    </row>
    <row r="1131" spans="1:27">
      <c r="A1131" s="244">
        <f t="shared" si="51"/>
        <v>113.49999999999724</v>
      </c>
      <c r="B1131" s="241">
        <v>34.700000000000003</v>
      </c>
      <c r="C1131" s="242">
        <v>46.1</v>
      </c>
      <c r="D1131" s="243">
        <v>62</v>
      </c>
      <c r="E1131" s="241">
        <v>39.200000000000003</v>
      </c>
      <c r="F1131" s="242">
        <v>52.2</v>
      </c>
      <c r="G1131" s="243">
        <v>70</v>
      </c>
      <c r="H1131" s="241">
        <v>46.7</v>
      </c>
      <c r="I1131" s="242">
        <v>62</v>
      </c>
      <c r="J1131" s="243">
        <v>82.7</v>
      </c>
      <c r="K1131" s="241">
        <v>62.5</v>
      </c>
      <c r="L1131" s="242">
        <v>82.5</v>
      </c>
      <c r="M1131" s="243">
        <v>108.6</v>
      </c>
      <c r="N1131" s="241">
        <v>105.1</v>
      </c>
      <c r="O1131" s="242">
        <v>135.19999999999999</v>
      </c>
      <c r="P1131" s="243">
        <v>170.4</v>
      </c>
      <c r="R1131" s="245"/>
      <c r="Z1131" s="244">
        <f t="shared" si="52"/>
        <v>113.49999999999724</v>
      </c>
      <c r="AA1131" s="376">
        <f t="shared" si="53"/>
        <v>4.7805445535828141E-6</v>
      </c>
    </row>
    <row r="1132" spans="1:27">
      <c r="A1132" s="244">
        <f t="shared" si="51"/>
        <v>113.59999999999724</v>
      </c>
      <c r="B1132" s="241">
        <v>35.6</v>
      </c>
      <c r="C1132" s="242">
        <v>47</v>
      </c>
      <c r="D1132" s="243">
        <v>62.9</v>
      </c>
      <c r="E1132" s="241">
        <v>40.299999999999997</v>
      </c>
      <c r="F1132" s="242">
        <v>53.2</v>
      </c>
      <c r="G1132" s="243">
        <v>70.900000000000006</v>
      </c>
      <c r="H1132" s="241">
        <v>47.9</v>
      </c>
      <c r="I1132" s="242">
        <v>63.1</v>
      </c>
      <c r="J1132" s="243">
        <v>83.8</v>
      </c>
      <c r="K1132" s="241">
        <v>64.2</v>
      </c>
      <c r="L1132" s="242">
        <v>84</v>
      </c>
      <c r="M1132" s="243">
        <v>110</v>
      </c>
      <c r="N1132" s="241">
        <v>107.5</v>
      </c>
      <c r="O1132" s="242">
        <v>137.19999999999999</v>
      </c>
      <c r="P1132" s="243">
        <v>172</v>
      </c>
      <c r="R1132" s="245"/>
      <c r="Z1132" s="244">
        <f t="shared" si="52"/>
        <v>113.59999999999724</v>
      </c>
      <c r="AA1132" s="376">
        <f t="shared" si="53"/>
        <v>4.7689808443332617E-6</v>
      </c>
    </row>
    <row r="1133" spans="1:27">
      <c r="A1133" s="244">
        <f t="shared" si="51"/>
        <v>113.69999999999723</v>
      </c>
      <c r="B1133" s="241">
        <v>36.6</v>
      </c>
      <c r="C1133" s="242">
        <v>47.9</v>
      </c>
      <c r="D1133" s="243">
        <v>63.8</v>
      </c>
      <c r="E1133" s="241">
        <v>41.4</v>
      </c>
      <c r="F1133" s="242">
        <v>54.2</v>
      </c>
      <c r="G1133" s="243">
        <v>71.900000000000006</v>
      </c>
      <c r="H1133" s="241">
        <v>49.3</v>
      </c>
      <c r="I1133" s="242">
        <v>64.400000000000006</v>
      </c>
      <c r="J1133" s="243">
        <v>84.9</v>
      </c>
      <c r="K1133" s="241">
        <v>65.900000000000006</v>
      </c>
      <c r="L1133" s="242">
        <v>85.5</v>
      </c>
      <c r="M1133" s="243">
        <v>111.3</v>
      </c>
      <c r="N1133" s="241">
        <v>110</v>
      </c>
      <c r="O1133" s="242">
        <v>139.30000000000001</v>
      </c>
      <c r="P1133" s="243">
        <v>173.6</v>
      </c>
      <c r="R1133" s="245"/>
      <c r="Z1133" s="244">
        <f t="shared" si="52"/>
        <v>113.69999999999723</v>
      </c>
      <c r="AA1133" s="376">
        <f t="shared" si="53"/>
        <v>4.7574552446181033E-6</v>
      </c>
    </row>
    <row r="1134" spans="1:27">
      <c r="A1134" s="244">
        <f t="shared" si="51"/>
        <v>113.79999999999723</v>
      </c>
      <c r="B1134" s="241">
        <v>37.6</v>
      </c>
      <c r="C1134" s="242">
        <v>48.9</v>
      </c>
      <c r="D1134" s="243">
        <v>64.7</v>
      </c>
      <c r="E1134" s="241">
        <v>42.6</v>
      </c>
      <c r="F1134" s="242">
        <v>55.3</v>
      </c>
      <c r="G1134" s="243">
        <v>73</v>
      </c>
      <c r="H1134" s="241">
        <v>50.6</v>
      </c>
      <c r="I1134" s="242">
        <v>65.599999999999994</v>
      </c>
      <c r="J1134" s="243">
        <v>86.1</v>
      </c>
      <c r="K1134" s="241">
        <v>67.7</v>
      </c>
      <c r="L1134" s="242">
        <v>87.1</v>
      </c>
      <c r="M1134" s="243">
        <v>112.8</v>
      </c>
      <c r="N1134" s="241">
        <v>112.7</v>
      </c>
      <c r="O1134" s="242">
        <v>141.5</v>
      </c>
      <c r="P1134" s="243">
        <v>175.4</v>
      </c>
      <c r="R1134" s="245"/>
      <c r="Z1134" s="244">
        <f t="shared" si="52"/>
        <v>113.79999999999723</v>
      </c>
      <c r="AA1134" s="376">
        <f t="shared" si="53"/>
        <v>4.7459675954908584E-6</v>
      </c>
    </row>
    <row r="1135" spans="1:27">
      <c r="A1135" s="244">
        <f t="shared" si="51"/>
        <v>113.89999999999722</v>
      </c>
      <c r="B1135" s="241">
        <v>38.700000000000003</v>
      </c>
      <c r="C1135" s="242">
        <v>49.9</v>
      </c>
      <c r="D1135" s="243">
        <v>65.7</v>
      </c>
      <c r="E1135" s="241">
        <v>43.8</v>
      </c>
      <c r="F1135" s="242">
        <v>56.5</v>
      </c>
      <c r="G1135" s="243">
        <v>74</v>
      </c>
      <c r="H1135" s="241">
        <v>52.1</v>
      </c>
      <c r="I1135" s="242">
        <v>67</v>
      </c>
      <c r="J1135" s="243">
        <v>87.3</v>
      </c>
      <c r="K1135" s="241">
        <v>69.599999999999994</v>
      </c>
      <c r="L1135" s="242">
        <v>88.8</v>
      </c>
      <c r="M1135" s="243">
        <v>114.3</v>
      </c>
      <c r="N1135" s="241">
        <v>115.4</v>
      </c>
      <c r="O1135" s="242">
        <v>143.80000000000001</v>
      </c>
      <c r="P1135" s="243">
        <v>177.2</v>
      </c>
      <c r="R1135" s="245"/>
      <c r="Z1135" s="244">
        <f t="shared" si="52"/>
        <v>113.89999999999722</v>
      </c>
      <c r="AA1135" s="376">
        <f t="shared" si="53"/>
        <v>4.7345177388068386E-6</v>
      </c>
    </row>
    <row r="1136" spans="1:27">
      <c r="A1136" s="244">
        <f t="shared" si="51"/>
        <v>113.99999999999721</v>
      </c>
      <c r="B1136" s="241">
        <v>39.9</v>
      </c>
      <c r="C1136" s="242">
        <v>51</v>
      </c>
      <c r="D1136" s="243">
        <v>66.7</v>
      </c>
      <c r="E1136" s="241">
        <v>45.1</v>
      </c>
      <c r="F1136" s="242">
        <v>57.7</v>
      </c>
      <c r="G1136" s="243">
        <v>75.2</v>
      </c>
      <c r="H1136" s="241">
        <v>53.6</v>
      </c>
      <c r="I1136" s="242">
        <v>68.400000000000006</v>
      </c>
      <c r="J1136" s="243">
        <v>88.6</v>
      </c>
      <c r="K1136" s="241">
        <v>71.5</v>
      </c>
      <c r="L1136" s="242">
        <v>90.6</v>
      </c>
      <c r="M1136" s="243">
        <v>115.9</v>
      </c>
      <c r="N1136" s="241">
        <v>118.3</v>
      </c>
      <c r="O1136" s="242">
        <v>146.19999999999999</v>
      </c>
      <c r="P1136" s="243">
        <v>179.1</v>
      </c>
      <c r="R1136" s="245"/>
      <c r="Z1136" s="244">
        <f t="shared" si="52"/>
        <v>113.99999999999721</v>
      </c>
      <c r="AA1136" s="376">
        <f t="shared" si="53"/>
        <v>4.7231055172184059E-6</v>
      </c>
    </row>
    <row r="1137" spans="1:27">
      <c r="A1137" s="244">
        <f t="shared" si="51"/>
        <v>114.09999999999721</v>
      </c>
      <c r="B1137" s="241">
        <v>41.1</v>
      </c>
      <c r="C1137" s="242">
        <v>52.2</v>
      </c>
      <c r="D1137" s="243">
        <v>67.8</v>
      </c>
      <c r="E1137" s="241">
        <v>46.5</v>
      </c>
      <c r="F1137" s="242">
        <v>59</v>
      </c>
      <c r="G1137" s="243">
        <v>76.400000000000006</v>
      </c>
      <c r="H1137" s="241">
        <v>55.2</v>
      </c>
      <c r="I1137" s="242">
        <v>69.900000000000006</v>
      </c>
      <c r="J1137" s="243">
        <v>90</v>
      </c>
      <c r="K1137" s="241">
        <v>73.599999999999994</v>
      </c>
      <c r="L1137" s="242">
        <v>92.5</v>
      </c>
      <c r="M1137" s="243">
        <v>117.5</v>
      </c>
      <c r="N1137" s="241">
        <v>121.3</v>
      </c>
      <c r="O1137" s="242">
        <v>148.69999999999999</v>
      </c>
      <c r="P1137" s="243">
        <v>181</v>
      </c>
      <c r="R1137" s="245"/>
      <c r="Z1137" s="244">
        <f t="shared" si="52"/>
        <v>114.09999999999721</v>
      </c>
      <c r="AA1137" s="376">
        <f t="shared" si="53"/>
        <v>4.7117307741702529E-6</v>
      </c>
    </row>
    <row r="1138" spans="1:27">
      <c r="A1138" s="244">
        <f t="shared" si="51"/>
        <v>114.1999999999972</v>
      </c>
      <c r="B1138" s="241">
        <v>42.4</v>
      </c>
      <c r="C1138" s="242">
        <v>53.4</v>
      </c>
      <c r="D1138" s="243">
        <v>68.900000000000006</v>
      </c>
      <c r="E1138" s="241">
        <v>48</v>
      </c>
      <c r="F1138" s="242">
        <v>60.3</v>
      </c>
      <c r="G1138" s="243">
        <v>77.599999999999994</v>
      </c>
      <c r="H1138" s="241">
        <v>56.9</v>
      </c>
      <c r="I1138" s="242">
        <v>71.400000000000006</v>
      </c>
      <c r="J1138" s="243">
        <v>91.5</v>
      </c>
      <c r="K1138" s="241">
        <v>75.8</v>
      </c>
      <c r="L1138" s="242">
        <v>94.4</v>
      </c>
      <c r="M1138" s="243">
        <v>119.2</v>
      </c>
      <c r="N1138" s="241">
        <v>124.3</v>
      </c>
      <c r="O1138" s="242">
        <v>151.19999999999999</v>
      </c>
      <c r="P1138" s="243">
        <v>183</v>
      </c>
      <c r="R1138" s="245"/>
      <c r="Z1138" s="244">
        <f t="shared" si="52"/>
        <v>114.1999999999972</v>
      </c>
      <c r="AA1138" s="376">
        <f t="shared" si="53"/>
        <v>4.7003933538947326E-6</v>
      </c>
    </row>
    <row r="1139" spans="1:27">
      <c r="A1139" s="244">
        <f t="shared" si="51"/>
        <v>114.2999999999972</v>
      </c>
      <c r="B1139" s="241">
        <v>43.8</v>
      </c>
      <c r="C1139" s="242">
        <v>54.7</v>
      </c>
      <c r="D1139" s="243">
        <v>70.099999999999994</v>
      </c>
      <c r="E1139" s="241">
        <v>49.5</v>
      </c>
      <c r="F1139" s="242">
        <v>61.7</v>
      </c>
      <c r="G1139" s="243">
        <v>79</v>
      </c>
      <c r="H1139" s="241">
        <v>58.7</v>
      </c>
      <c r="I1139" s="242">
        <v>73.099999999999994</v>
      </c>
      <c r="J1139" s="243">
        <v>93</v>
      </c>
      <c r="K1139" s="241">
        <v>78.099999999999994</v>
      </c>
      <c r="L1139" s="242">
        <v>96.5</v>
      </c>
      <c r="M1139" s="243">
        <v>121.1</v>
      </c>
      <c r="N1139" s="241">
        <v>127.5</v>
      </c>
      <c r="O1139" s="242">
        <v>153.9</v>
      </c>
      <c r="P1139" s="243">
        <v>185.1</v>
      </c>
      <c r="R1139" s="245"/>
      <c r="Z1139" s="244">
        <f t="shared" si="52"/>
        <v>114.2999999999972</v>
      </c>
      <c r="AA1139" s="376">
        <f t="shared" si="53"/>
        <v>4.6890931014072043E-6</v>
      </c>
    </row>
    <row r="1140" spans="1:27">
      <c r="A1140" s="244">
        <f t="shared" si="51"/>
        <v>114.39999999999719</v>
      </c>
      <c r="B1140" s="241">
        <v>45.2</v>
      </c>
      <c r="C1140" s="242">
        <v>56</v>
      </c>
      <c r="D1140" s="243">
        <v>71.400000000000006</v>
      </c>
      <c r="E1140" s="241">
        <v>51.1</v>
      </c>
      <c r="F1140" s="242">
        <v>63.2</v>
      </c>
      <c r="G1140" s="243">
        <v>80.400000000000006</v>
      </c>
      <c r="H1140" s="241">
        <v>60.6</v>
      </c>
      <c r="I1140" s="242">
        <v>74.8</v>
      </c>
      <c r="J1140" s="243">
        <v>94.6</v>
      </c>
      <c r="K1140" s="241">
        <v>80.5</v>
      </c>
      <c r="L1140" s="242">
        <v>98.7</v>
      </c>
      <c r="M1140" s="243">
        <v>123</v>
      </c>
      <c r="N1140" s="241">
        <v>130.9</v>
      </c>
      <c r="O1140" s="242">
        <v>156.69999999999999</v>
      </c>
      <c r="P1140" s="243">
        <v>187.3</v>
      </c>
      <c r="R1140" s="245"/>
      <c r="Z1140" s="244">
        <f t="shared" si="52"/>
        <v>114.39999999999719</v>
      </c>
      <c r="AA1140" s="376">
        <f t="shared" si="53"/>
        <v>4.677829862501416E-6</v>
      </c>
    </row>
    <row r="1141" spans="1:27">
      <c r="A1141" s="244">
        <f t="shared" si="51"/>
        <v>114.49999999999719</v>
      </c>
      <c r="B1141" s="241">
        <v>46.8</v>
      </c>
      <c r="C1141" s="242">
        <v>57.4</v>
      </c>
      <c r="D1141" s="243">
        <v>72.7</v>
      </c>
      <c r="E1141" s="241">
        <v>52.8</v>
      </c>
      <c r="F1141" s="242">
        <v>64.8</v>
      </c>
      <c r="G1141" s="243">
        <v>81.900000000000006</v>
      </c>
      <c r="H1141" s="241">
        <v>62.7</v>
      </c>
      <c r="I1141" s="242">
        <v>76.7</v>
      </c>
      <c r="J1141" s="243">
        <v>96.3</v>
      </c>
      <c r="K1141" s="241">
        <v>83</v>
      </c>
      <c r="L1141" s="242">
        <v>101</v>
      </c>
      <c r="M1141" s="243">
        <v>125</v>
      </c>
      <c r="N1141" s="241">
        <v>134.30000000000001</v>
      </c>
      <c r="O1141" s="242">
        <v>159.6</v>
      </c>
      <c r="P1141" s="243">
        <v>189.6</v>
      </c>
      <c r="R1141" s="245"/>
      <c r="Z1141" s="244">
        <f t="shared" si="52"/>
        <v>114.49999999999719</v>
      </c>
      <c r="AA1141" s="376">
        <f t="shared" si="53"/>
        <v>4.6666034837449261E-6</v>
      </c>
    </row>
    <row r="1142" spans="1:27">
      <c r="A1142" s="244">
        <f t="shared" si="51"/>
        <v>114.59999999999718</v>
      </c>
      <c r="B1142" s="241">
        <v>48.4</v>
      </c>
      <c r="C1142" s="242">
        <v>59</v>
      </c>
      <c r="D1142" s="243">
        <v>74.2</v>
      </c>
      <c r="E1142" s="241">
        <v>54.7</v>
      </c>
      <c r="F1142" s="242">
        <v>66.5</v>
      </c>
      <c r="G1142" s="243">
        <v>83.4</v>
      </c>
      <c r="H1142" s="241">
        <v>64.8</v>
      </c>
      <c r="I1142" s="242">
        <v>78.599999999999994</v>
      </c>
      <c r="J1142" s="243">
        <v>98</v>
      </c>
      <c r="K1142" s="241">
        <v>85.7</v>
      </c>
      <c r="L1142" s="242">
        <v>103.4</v>
      </c>
      <c r="M1142" s="243">
        <v>127.1</v>
      </c>
      <c r="N1142" s="241">
        <v>137.9</v>
      </c>
      <c r="O1142" s="242">
        <v>162.6</v>
      </c>
      <c r="P1142" s="243">
        <v>191.9</v>
      </c>
      <c r="R1142" s="245"/>
      <c r="Z1142" s="244">
        <f t="shared" si="52"/>
        <v>114.59999999999718</v>
      </c>
      <c r="AA1142" s="376">
        <f t="shared" si="53"/>
        <v>4.6554138124745452E-6</v>
      </c>
    </row>
    <row r="1143" spans="1:27">
      <c r="A1143" s="244">
        <f t="shared" si="51"/>
        <v>114.69999999999717</v>
      </c>
      <c r="B1143" s="241">
        <v>50.1</v>
      </c>
      <c r="C1143" s="242">
        <v>60.6</v>
      </c>
      <c r="D1143" s="243">
        <v>75.7</v>
      </c>
      <c r="E1143" s="241">
        <v>56.6</v>
      </c>
      <c r="F1143" s="242">
        <v>68.3</v>
      </c>
      <c r="G1143" s="243">
        <v>85.1</v>
      </c>
      <c r="H1143" s="241">
        <v>67</v>
      </c>
      <c r="I1143" s="242">
        <v>80.7</v>
      </c>
      <c r="J1143" s="243">
        <v>99.9</v>
      </c>
      <c r="K1143" s="241">
        <v>88.5</v>
      </c>
      <c r="L1143" s="242">
        <v>105.9</v>
      </c>
      <c r="M1143" s="243">
        <v>129.30000000000001</v>
      </c>
      <c r="N1143" s="241">
        <v>141.69999999999999</v>
      </c>
      <c r="O1143" s="242">
        <v>165.8</v>
      </c>
      <c r="P1143" s="243">
        <v>194.4</v>
      </c>
      <c r="R1143" s="245"/>
      <c r="Z1143" s="244">
        <f t="shared" si="52"/>
        <v>114.69999999999717</v>
      </c>
      <c r="AA1143" s="376">
        <f t="shared" si="53"/>
        <v>4.6442606967918076E-6</v>
      </c>
    </row>
    <row r="1144" spans="1:27">
      <c r="A1144" s="244">
        <f t="shared" si="51"/>
        <v>114.79999999999717</v>
      </c>
      <c r="B1144" s="241">
        <v>52</v>
      </c>
      <c r="C1144" s="242">
        <v>62.3</v>
      </c>
      <c r="D1144" s="243">
        <v>77.3</v>
      </c>
      <c r="E1144" s="241">
        <v>58.7</v>
      </c>
      <c r="F1144" s="242">
        <v>70.2</v>
      </c>
      <c r="G1144" s="243">
        <v>86.9</v>
      </c>
      <c r="H1144" s="241">
        <v>69.400000000000006</v>
      </c>
      <c r="I1144" s="242">
        <v>82.9</v>
      </c>
      <c r="J1144" s="243">
        <v>101.9</v>
      </c>
      <c r="K1144" s="241">
        <v>91.5</v>
      </c>
      <c r="L1144" s="242">
        <v>108.6</v>
      </c>
      <c r="M1144" s="243">
        <v>131.69999999999999</v>
      </c>
      <c r="N1144" s="241">
        <v>145.5</v>
      </c>
      <c r="O1144" s="242">
        <v>169</v>
      </c>
      <c r="P1144" s="243">
        <v>196.9</v>
      </c>
      <c r="R1144" s="245"/>
      <c r="Z1144" s="244">
        <f t="shared" si="52"/>
        <v>114.79999999999717</v>
      </c>
      <c r="AA1144" s="376">
        <f t="shared" si="53"/>
        <v>4.6331439855584882E-6</v>
      </c>
    </row>
    <row r="1145" spans="1:27">
      <c r="A1145" s="244">
        <f t="shared" si="51"/>
        <v>114.89999999999716</v>
      </c>
      <c r="B1145" s="241">
        <v>53.9</v>
      </c>
      <c r="C1145" s="242">
        <v>64.099999999999994</v>
      </c>
      <c r="D1145" s="243">
        <v>79</v>
      </c>
      <c r="E1145" s="241">
        <v>60.8</v>
      </c>
      <c r="F1145" s="242">
        <v>72.3</v>
      </c>
      <c r="G1145" s="243">
        <v>88.7</v>
      </c>
      <c r="H1145" s="241">
        <v>71.900000000000006</v>
      </c>
      <c r="I1145" s="242">
        <v>85.2</v>
      </c>
      <c r="J1145" s="243">
        <v>104</v>
      </c>
      <c r="K1145" s="241">
        <v>94.6</v>
      </c>
      <c r="L1145" s="242">
        <v>111.4</v>
      </c>
      <c r="M1145" s="243">
        <v>134.19999999999999</v>
      </c>
      <c r="N1145" s="241">
        <v>149.5</v>
      </c>
      <c r="O1145" s="242">
        <v>172.4</v>
      </c>
      <c r="P1145" s="243">
        <v>199.6</v>
      </c>
      <c r="R1145" s="245"/>
      <c r="Z1145" s="244">
        <f t="shared" si="52"/>
        <v>114.89999999999716</v>
      </c>
      <c r="AA1145" s="376">
        <f t="shared" si="53"/>
        <v>4.6220635283921305E-6</v>
      </c>
    </row>
    <row r="1146" spans="1:27">
      <c r="A1146" s="244">
        <f t="shared" si="51"/>
        <v>114.99999999999716</v>
      </c>
      <c r="B1146" s="241">
        <v>56</v>
      </c>
      <c r="C1146" s="242">
        <v>66.099999999999994</v>
      </c>
      <c r="D1146" s="243">
        <v>80.8</v>
      </c>
      <c r="E1146" s="241">
        <v>63.2</v>
      </c>
      <c r="F1146" s="242">
        <v>74.400000000000006</v>
      </c>
      <c r="G1146" s="243">
        <v>90.7</v>
      </c>
      <c r="H1146" s="241">
        <v>74.599999999999994</v>
      </c>
      <c r="I1146" s="242">
        <v>87.7</v>
      </c>
      <c r="J1146" s="243">
        <v>106.3</v>
      </c>
      <c r="K1146" s="241">
        <v>97.9</v>
      </c>
      <c r="L1146" s="242">
        <v>114.4</v>
      </c>
      <c r="M1146" s="243">
        <v>136.80000000000001</v>
      </c>
      <c r="N1146" s="241">
        <v>153.69999999999999</v>
      </c>
      <c r="O1146" s="242">
        <v>175.9</v>
      </c>
      <c r="P1146" s="243">
        <v>202.3</v>
      </c>
      <c r="R1146" s="245"/>
      <c r="Z1146" s="244">
        <f t="shared" si="52"/>
        <v>114.99999999999716</v>
      </c>
      <c r="AA1146" s="376">
        <f t="shared" si="53"/>
        <v>4.6110191756616219E-6</v>
      </c>
    </row>
    <row r="1147" spans="1:27">
      <c r="A1147" s="244">
        <f t="shared" si="51"/>
        <v>115.09999999999715</v>
      </c>
      <c r="B1147" s="241">
        <v>58.2</v>
      </c>
      <c r="C1147" s="242">
        <v>68.099999999999994</v>
      </c>
      <c r="D1147" s="243">
        <v>82.7</v>
      </c>
      <c r="E1147" s="241">
        <v>65.599999999999994</v>
      </c>
      <c r="F1147" s="242">
        <v>76.7</v>
      </c>
      <c r="G1147" s="243">
        <v>92.9</v>
      </c>
      <c r="H1147" s="241">
        <v>77.400000000000006</v>
      </c>
      <c r="I1147" s="242">
        <v>90.3</v>
      </c>
      <c r="J1147" s="243">
        <v>108.7</v>
      </c>
      <c r="K1147" s="241">
        <v>101.4</v>
      </c>
      <c r="L1147" s="242">
        <v>117.5</v>
      </c>
      <c r="M1147" s="243">
        <v>139.5</v>
      </c>
      <c r="N1147" s="241">
        <v>158</v>
      </c>
      <c r="O1147" s="242">
        <v>179.6</v>
      </c>
      <c r="P1147" s="243">
        <v>205.2</v>
      </c>
      <c r="R1147" s="245"/>
      <c r="Z1147" s="244">
        <f t="shared" si="52"/>
        <v>115.09999999999715</v>
      </c>
      <c r="AA1147" s="376">
        <f t="shared" si="53"/>
        <v>4.6000107784827858E-6</v>
      </c>
    </row>
    <row r="1148" spans="1:27">
      <c r="A1148" s="244">
        <f t="shared" si="51"/>
        <v>115.19999999999715</v>
      </c>
      <c r="B1148" s="241">
        <v>60.6</v>
      </c>
      <c r="C1148" s="242">
        <v>70.3</v>
      </c>
      <c r="D1148" s="243">
        <v>84.8</v>
      </c>
      <c r="E1148" s="241">
        <v>68.2</v>
      </c>
      <c r="F1148" s="242">
        <v>79.099999999999994</v>
      </c>
      <c r="G1148" s="243">
        <v>95.1</v>
      </c>
      <c r="H1148" s="241">
        <v>80.400000000000006</v>
      </c>
      <c r="I1148" s="242">
        <v>93</v>
      </c>
      <c r="J1148" s="243">
        <v>111.2</v>
      </c>
      <c r="K1148" s="241">
        <v>105.1</v>
      </c>
      <c r="L1148" s="242">
        <v>120.8</v>
      </c>
      <c r="M1148" s="243">
        <v>142.4</v>
      </c>
      <c r="N1148" s="241">
        <v>162.4</v>
      </c>
      <c r="O1148" s="242">
        <v>183.3</v>
      </c>
      <c r="P1148" s="243">
        <v>208.1</v>
      </c>
      <c r="R1148" s="245"/>
      <c r="Z1148" s="244">
        <f t="shared" si="52"/>
        <v>115.19999999999715</v>
      </c>
      <c r="AA1148" s="376">
        <f t="shared" si="53"/>
        <v>4.5890381887140052E-6</v>
      </c>
    </row>
    <row r="1149" spans="1:27">
      <c r="A1149" s="244">
        <f t="shared" si="51"/>
        <v>115.29999999999714</v>
      </c>
      <c r="B1149" s="241">
        <v>63.1</v>
      </c>
      <c r="C1149" s="242">
        <v>72.7</v>
      </c>
      <c r="D1149" s="243">
        <v>87</v>
      </c>
      <c r="E1149" s="241">
        <v>71</v>
      </c>
      <c r="F1149" s="242">
        <v>81.7</v>
      </c>
      <c r="G1149" s="243">
        <v>97.5</v>
      </c>
      <c r="H1149" s="241">
        <v>83.6</v>
      </c>
      <c r="I1149" s="242">
        <v>96</v>
      </c>
      <c r="J1149" s="243">
        <v>113.8</v>
      </c>
      <c r="K1149" s="241">
        <v>108.9</v>
      </c>
      <c r="L1149" s="242">
        <v>124.3</v>
      </c>
      <c r="M1149" s="243">
        <v>145.5</v>
      </c>
      <c r="N1149" s="241">
        <v>167</v>
      </c>
      <c r="O1149" s="242">
        <v>187.2</v>
      </c>
      <c r="P1149" s="243">
        <v>211.1</v>
      </c>
      <c r="R1149" s="245"/>
      <c r="Z1149" s="244">
        <f t="shared" si="52"/>
        <v>115.29999999999714</v>
      </c>
      <c r="AA1149" s="376">
        <f t="shared" si="53"/>
        <v>4.5781012589518926E-6</v>
      </c>
    </row>
    <row r="1150" spans="1:27">
      <c r="A1150" s="244">
        <f t="shared" si="51"/>
        <v>115.39999999999714</v>
      </c>
      <c r="B1150" s="241">
        <v>65.8</v>
      </c>
      <c r="C1150" s="242">
        <v>75.2</v>
      </c>
      <c r="D1150" s="243">
        <v>89.4</v>
      </c>
      <c r="E1150" s="241">
        <v>74</v>
      </c>
      <c r="F1150" s="242">
        <v>84.5</v>
      </c>
      <c r="G1150" s="243">
        <v>100.1</v>
      </c>
      <c r="H1150" s="241">
        <v>87</v>
      </c>
      <c r="I1150" s="242">
        <v>99.1</v>
      </c>
      <c r="J1150" s="243">
        <v>116.7</v>
      </c>
      <c r="K1150" s="241">
        <v>113</v>
      </c>
      <c r="L1150" s="242">
        <v>128</v>
      </c>
      <c r="M1150" s="243">
        <v>148.69999999999999</v>
      </c>
      <c r="N1150" s="241">
        <v>171.7</v>
      </c>
      <c r="O1150" s="242">
        <v>191.3</v>
      </c>
      <c r="P1150" s="243">
        <v>214.3</v>
      </c>
      <c r="R1150" s="245"/>
      <c r="Z1150" s="244">
        <f t="shared" si="52"/>
        <v>115.39999999999714</v>
      </c>
      <c r="AA1150" s="376">
        <f t="shared" si="53"/>
        <v>4.5671998425269554E-6</v>
      </c>
    </row>
    <row r="1151" spans="1:27">
      <c r="A1151" s="244">
        <f t="shared" si="51"/>
        <v>115.49999999999713</v>
      </c>
      <c r="B1151" s="241">
        <v>68.7</v>
      </c>
      <c r="C1151" s="242">
        <v>77.900000000000006</v>
      </c>
      <c r="D1151" s="243">
        <v>91.9</v>
      </c>
      <c r="E1151" s="241">
        <v>77.2</v>
      </c>
      <c r="F1151" s="242">
        <v>87.5</v>
      </c>
      <c r="G1151" s="243">
        <v>102.8</v>
      </c>
      <c r="H1151" s="241">
        <v>90.6</v>
      </c>
      <c r="I1151" s="242">
        <v>102.5</v>
      </c>
      <c r="J1151" s="243">
        <v>119.7</v>
      </c>
      <c r="K1151" s="241">
        <v>117.3</v>
      </c>
      <c r="L1151" s="242">
        <v>131.9</v>
      </c>
      <c r="M1151" s="243">
        <v>152.19999999999999</v>
      </c>
      <c r="N1151" s="241">
        <v>176.5</v>
      </c>
      <c r="O1151" s="242">
        <v>195.4</v>
      </c>
      <c r="P1151" s="243">
        <v>217.5</v>
      </c>
      <c r="R1151" s="245"/>
      <c r="Z1151" s="244">
        <f t="shared" si="52"/>
        <v>115.49999999999713</v>
      </c>
      <c r="AA1151" s="376">
        <f t="shared" si="53"/>
        <v>4.5563337934993242E-6</v>
      </c>
    </row>
    <row r="1152" spans="1:27">
      <c r="A1152" s="244">
        <f t="shared" si="51"/>
        <v>115.59999999999712</v>
      </c>
      <c r="B1152" s="241">
        <v>71.7</v>
      </c>
      <c r="C1152" s="242">
        <v>80.8</v>
      </c>
      <c r="D1152" s="243">
        <v>94.6</v>
      </c>
      <c r="E1152" s="241">
        <v>80.599999999999994</v>
      </c>
      <c r="F1152" s="242">
        <v>90.6</v>
      </c>
      <c r="G1152" s="243">
        <v>105.7</v>
      </c>
      <c r="H1152" s="241">
        <v>94.4</v>
      </c>
      <c r="I1152" s="242">
        <v>106</v>
      </c>
      <c r="J1152" s="243">
        <v>122.9</v>
      </c>
      <c r="K1152" s="241">
        <v>121.8</v>
      </c>
      <c r="L1152" s="242">
        <v>136</v>
      </c>
      <c r="M1152" s="243">
        <v>155.80000000000001</v>
      </c>
      <c r="N1152" s="241">
        <v>181.4</v>
      </c>
      <c r="O1152" s="242">
        <v>199.7</v>
      </c>
      <c r="P1152" s="243">
        <v>220.9</v>
      </c>
      <c r="R1152" s="245"/>
      <c r="Z1152" s="244">
        <f t="shared" si="52"/>
        <v>115.59999999999712</v>
      </c>
      <c r="AA1152" s="376">
        <f t="shared" si="53"/>
        <v>4.545502966654498E-6</v>
      </c>
    </row>
    <row r="1153" spans="1:27">
      <c r="A1153" s="244">
        <f t="shared" si="51"/>
        <v>115.69999999999712</v>
      </c>
      <c r="B1153" s="241">
        <v>75</v>
      </c>
      <c r="C1153" s="242">
        <v>83.9</v>
      </c>
      <c r="D1153" s="243">
        <v>97.4</v>
      </c>
      <c r="E1153" s="241">
        <v>84.2</v>
      </c>
      <c r="F1153" s="242">
        <v>94</v>
      </c>
      <c r="G1153" s="243">
        <v>108.8</v>
      </c>
      <c r="H1153" s="241">
        <v>98.5</v>
      </c>
      <c r="I1153" s="242">
        <v>109.8</v>
      </c>
      <c r="J1153" s="243">
        <v>126.4</v>
      </c>
      <c r="K1153" s="241">
        <v>126.5</v>
      </c>
      <c r="L1153" s="242">
        <v>140.30000000000001</v>
      </c>
      <c r="M1153" s="243">
        <v>159.6</v>
      </c>
      <c r="N1153" s="241">
        <v>186.5</v>
      </c>
      <c r="O1153" s="242">
        <v>204</v>
      </c>
      <c r="P1153" s="243">
        <v>224.3</v>
      </c>
      <c r="R1153" s="245"/>
      <c r="Z1153" s="244">
        <f t="shared" si="52"/>
        <v>115.69999999999712</v>
      </c>
      <c r="AA1153" s="376">
        <f t="shared" si="53"/>
        <v>4.5347072174991008E-6</v>
      </c>
    </row>
    <row r="1154" spans="1:27">
      <c r="A1154" s="244">
        <f t="shared" si="51"/>
        <v>115.79999999999711</v>
      </c>
      <c r="B1154" s="241">
        <v>78.599999999999994</v>
      </c>
      <c r="C1154" s="242">
        <v>87.2</v>
      </c>
      <c r="D1154" s="243">
        <v>100.5</v>
      </c>
      <c r="E1154" s="241">
        <v>88</v>
      </c>
      <c r="F1154" s="242">
        <v>97.6</v>
      </c>
      <c r="G1154" s="243">
        <v>112.2</v>
      </c>
      <c r="H1154" s="241">
        <v>102.8</v>
      </c>
      <c r="I1154" s="242">
        <v>113.8</v>
      </c>
      <c r="J1154" s="243">
        <v>130</v>
      </c>
      <c r="K1154" s="241">
        <v>131.5</v>
      </c>
      <c r="L1154" s="242">
        <v>144.9</v>
      </c>
      <c r="M1154" s="243">
        <v>163.6</v>
      </c>
      <c r="N1154" s="241">
        <v>191.6</v>
      </c>
      <c r="O1154" s="242">
        <v>208.5</v>
      </c>
      <c r="P1154" s="243">
        <v>227.8</v>
      </c>
      <c r="R1154" s="245"/>
      <c r="Z1154" s="244">
        <f t="shared" si="52"/>
        <v>115.79999999999711</v>
      </c>
      <c r="AA1154" s="376">
        <f t="shared" si="53"/>
        <v>4.5239464022566937E-6</v>
      </c>
    </row>
    <row r="1155" spans="1:27">
      <c r="A1155" s="244">
        <f t="shared" si="51"/>
        <v>115.89999999999711</v>
      </c>
      <c r="B1155" s="241">
        <v>82.3</v>
      </c>
      <c r="C1155" s="242">
        <v>90.8</v>
      </c>
      <c r="D1155" s="243">
        <v>103.9</v>
      </c>
      <c r="E1155" s="241">
        <v>92.2</v>
      </c>
      <c r="F1155" s="242">
        <v>101.5</v>
      </c>
      <c r="G1155" s="243">
        <v>115.8</v>
      </c>
      <c r="H1155" s="241">
        <v>107.4</v>
      </c>
      <c r="I1155" s="242">
        <v>118.1</v>
      </c>
      <c r="J1155" s="243">
        <v>133.9</v>
      </c>
      <c r="K1155" s="241">
        <v>136.80000000000001</v>
      </c>
      <c r="L1155" s="242">
        <v>149.69999999999999</v>
      </c>
      <c r="M1155" s="243">
        <v>167.8</v>
      </c>
      <c r="N1155" s="241">
        <v>196.8</v>
      </c>
      <c r="O1155" s="242">
        <v>213.1</v>
      </c>
      <c r="P1155" s="243">
        <v>231.4</v>
      </c>
      <c r="R1155" s="245"/>
      <c r="Z1155" s="244">
        <f t="shared" si="52"/>
        <v>115.89999999999711</v>
      </c>
      <c r="AA1155" s="376">
        <f t="shared" si="53"/>
        <v>4.5132203778636009E-6</v>
      </c>
    </row>
    <row r="1156" spans="1:27">
      <c r="A1156" s="244">
        <f t="shared" si="51"/>
        <v>115.9999999999971</v>
      </c>
      <c r="B1156" s="241">
        <v>86.4</v>
      </c>
      <c r="C1156" s="242">
        <v>94.6</v>
      </c>
      <c r="D1156" s="243">
        <v>107.4</v>
      </c>
      <c r="E1156" s="241">
        <v>96.6</v>
      </c>
      <c r="F1156" s="242">
        <v>105.6</v>
      </c>
      <c r="G1156" s="243">
        <v>119.6</v>
      </c>
      <c r="H1156" s="241">
        <v>112.3</v>
      </c>
      <c r="I1156" s="242">
        <v>122.6</v>
      </c>
      <c r="J1156" s="243">
        <v>138.1</v>
      </c>
      <c r="K1156" s="241">
        <v>142.30000000000001</v>
      </c>
      <c r="L1156" s="242">
        <v>154.80000000000001</v>
      </c>
      <c r="M1156" s="243">
        <v>172.3</v>
      </c>
      <c r="N1156" s="241">
        <v>202</v>
      </c>
      <c r="O1156" s="242">
        <v>217.7</v>
      </c>
      <c r="P1156" s="243">
        <v>235</v>
      </c>
      <c r="R1156" s="245"/>
      <c r="Z1156" s="244">
        <f t="shared" si="52"/>
        <v>115.9999999999971</v>
      </c>
      <c r="AA1156" s="376">
        <f t="shared" si="53"/>
        <v>4.5025290019647588E-6</v>
      </c>
    </row>
    <row r="1157" spans="1:27">
      <c r="A1157" s="244">
        <f t="shared" si="51"/>
        <v>116.0999999999971</v>
      </c>
      <c r="B1157" s="241">
        <v>90.8</v>
      </c>
      <c r="C1157" s="242">
        <v>98.7</v>
      </c>
      <c r="D1157" s="243">
        <v>111.3</v>
      </c>
      <c r="E1157" s="241">
        <v>101.3</v>
      </c>
      <c r="F1157" s="242">
        <v>110.1</v>
      </c>
      <c r="G1157" s="243">
        <v>123.7</v>
      </c>
      <c r="H1157" s="241">
        <v>117.5</v>
      </c>
      <c r="I1157" s="242">
        <v>127.5</v>
      </c>
      <c r="J1157" s="243">
        <v>142.5</v>
      </c>
      <c r="K1157" s="241">
        <v>148</v>
      </c>
      <c r="L1157" s="242">
        <v>160.1</v>
      </c>
      <c r="M1157" s="243">
        <v>177</v>
      </c>
      <c r="N1157" s="241">
        <v>207.2</v>
      </c>
      <c r="O1157" s="242">
        <v>222.4</v>
      </c>
      <c r="P1157" s="243">
        <v>238.7</v>
      </c>
      <c r="R1157" s="245"/>
      <c r="Z1157" s="244">
        <f t="shared" si="52"/>
        <v>116.0999999999971</v>
      </c>
      <c r="AA1157" s="376">
        <f t="shared" si="53"/>
        <v>4.4918721329096112E-6</v>
      </c>
    </row>
    <row r="1158" spans="1:27">
      <c r="A1158" s="244">
        <f t="shared" si="51"/>
        <v>116.19999999999709</v>
      </c>
      <c r="B1158" s="241">
        <v>95.4</v>
      </c>
      <c r="C1158" s="242">
        <v>103.1</v>
      </c>
      <c r="D1158" s="243">
        <v>115.4</v>
      </c>
      <c r="E1158" s="241">
        <v>106.3</v>
      </c>
      <c r="F1158" s="242">
        <v>114.8</v>
      </c>
      <c r="G1158" s="243">
        <v>128.1</v>
      </c>
      <c r="H1158" s="241">
        <v>123</v>
      </c>
      <c r="I1158" s="242">
        <v>132.69999999999999</v>
      </c>
      <c r="J1158" s="243">
        <v>147.19999999999999</v>
      </c>
      <c r="K1158" s="241">
        <v>154.1</v>
      </c>
      <c r="L1158" s="242">
        <v>165.7</v>
      </c>
      <c r="M1158" s="243">
        <v>181.9</v>
      </c>
      <c r="N1158" s="241">
        <v>212.4</v>
      </c>
      <c r="O1158" s="242">
        <v>227.1</v>
      </c>
      <c r="P1158" s="243">
        <v>242.4</v>
      </c>
      <c r="R1158" s="245"/>
      <c r="Z1158" s="244">
        <f t="shared" si="52"/>
        <v>116.19999999999709</v>
      </c>
      <c r="AA1158" s="376">
        <f t="shared" si="53"/>
        <v>4.4812496297480045E-6</v>
      </c>
    </row>
    <row r="1159" spans="1:27">
      <c r="A1159" s="244">
        <f t="shared" ref="A1159:A1196" si="54">A1158+0.1</f>
        <v>116.29999999999708</v>
      </c>
      <c r="B1159" s="241">
        <v>100.4</v>
      </c>
      <c r="C1159" s="242">
        <v>107.9</v>
      </c>
      <c r="D1159" s="243">
        <v>119.8</v>
      </c>
      <c r="E1159" s="241">
        <v>111.7</v>
      </c>
      <c r="F1159" s="242">
        <v>119.9</v>
      </c>
      <c r="G1159" s="243">
        <v>132.80000000000001</v>
      </c>
      <c r="H1159" s="241">
        <v>128.80000000000001</v>
      </c>
      <c r="I1159" s="242">
        <v>138.19999999999999</v>
      </c>
      <c r="J1159" s="243">
        <v>152.19999999999999</v>
      </c>
      <c r="K1159" s="241">
        <v>160.30000000000001</v>
      </c>
      <c r="L1159" s="242">
        <v>171.6</v>
      </c>
      <c r="M1159" s="243">
        <v>187.1</v>
      </c>
      <c r="N1159" s="241">
        <v>217.6</v>
      </c>
      <c r="O1159" s="242">
        <v>231.7</v>
      </c>
      <c r="P1159" s="243">
        <v>246.2</v>
      </c>
      <c r="R1159" s="245"/>
      <c r="Z1159" s="244">
        <f t="shared" ref="Z1159:Z1196" si="55">Z1158+0.1</f>
        <v>116.29999999999708</v>
      </c>
      <c r="AA1159" s="376">
        <f t="shared" ref="AA1159:AA1196" si="56">T_gal(Z1159)</f>
        <v>4.4706613522261381E-6</v>
      </c>
    </row>
    <row r="1160" spans="1:27">
      <c r="A1160" s="244">
        <f t="shared" si="54"/>
        <v>116.39999999999708</v>
      </c>
      <c r="B1160" s="241">
        <v>105.8</v>
      </c>
      <c r="C1160" s="242">
        <v>113</v>
      </c>
      <c r="D1160" s="243">
        <v>124.6</v>
      </c>
      <c r="E1160" s="241">
        <v>117.5</v>
      </c>
      <c r="F1160" s="242">
        <v>125.4</v>
      </c>
      <c r="G1160" s="243">
        <v>137.9</v>
      </c>
      <c r="H1160" s="241">
        <v>135</v>
      </c>
      <c r="I1160" s="242">
        <v>144</v>
      </c>
      <c r="J1160" s="243">
        <v>157.6</v>
      </c>
      <c r="K1160" s="241">
        <v>166.8</v>
      </c>
      <c r="L1160" s="242">
        <v>177.7</v>
      </c>
      <c r="M1160" s="243">
        <v>192.5</v>
      </c>
      <c r="N1160" s="241">
        <v>222.7</v>
      </c>
      <c r="O1160" s="242">
        <v>236.4</v>
      </c>
      <c r="P1160" s="243">
        <v>249.9</v>
      </c>
      <c r="R1160" s="245"/>
      <c r="Z1160" s="244">
        <f t="shared" si="55"/>
        <v>116.39999999999708</v>
      </c>
      <c r="AA1160" s="376">
        <f t="shared" si="56"/>
        <v>4.4601071607825233E-6</v>
      </c>
    </row>
    <row r="1161" spans="1:27">
      <c r="A1161" s="244">
        <f t="shared" si="54"/>
        <v>116.49999999999707</v>
      </c>
      <c r="B1161" s="241">
        <v>111.6</v>
      </c>
      <c r="C1161" s="242">
        <v>118.5</v>
      </c>
      <c r="D1161" s="243">
        <v>129.80000000000001</v>
      </c>
      <c r="E1161" s="241">
        <v>123.6</v>
      </c>
      <c r="F1161" s="242">
        <v>131.19999999999999</v>
      </c>
      <c r="G1161" s="243">
        <v>143.30000000000001</v>
      </c>
      <c r="H1161" s="241">
        <v>141.5</v>
      </c>
      <c r="I1161" s="242">
        <v>150.19999999999999</v>
      </c>
      <c r="J1161" s="243">
        <v>163.19999999999999</v>
      </c>
      <c r="K1161" s="241">
        <v>173.5</v>
      </c>
      <c r="L1161" s="242">
        <v>184</v>
      </c>
      <c r="M1161" s="243">
        <v>198.1</v>
      </c>
      <c r="N1161" s="241">
        <v>227.6</v>
      </c>
      <c r="O1161" s="242">
        <v>240.9</v>
      </c>
      <c r="P1161" s="243">
        <v>253.5</v>
      </c>
      <c r="R1161" s="245"/>
      <c r="Z1161" s="244">
        <f t="shared" si="55"/>
        <v>116.49999999999707</v>
      </c>
      <c r="AA1161" s="376">
        <f t="shared" si="56"/>
        <v>4.4495869165439799E-6</v>
      </c>
    </row>
    <row r="1162" spans="1:27">
      <c r="A1162" s="244">
        <f t="shared" si="54"/>
        <v>116.59999999999707</v>
      </c>
      <c r="B1162" s="241">
        <v>117.8</v>
      </c>
      <c r="C1162" s="242">
        <v>124.4</v>
      </c>
      <c r="D1162" s="243">
        <v>135.30000000000001</v>
      </c>
      <c r="E1162" s="241">
        <v>130.1</v>
      </c>
      <c r="F1162" s="242">
        <v>137.5</v>
      </c>
      <c r="G1162" s="243">
        <v>149.1</v>
      </c>
      <c r="H1162" s="241">
        <v>148.4</v>
      </c>
      <c r="I1162" s="242">
        <v>156.69999999999999</v>
      </c>
      <c r="J1162" s="243">
        <v>169.2</v>
      </c>
      <c r="K1162" s="241">
        <v>180.4</v>
      </c>
      <c r="L1162" s="242">
        <v>190.6</v>
      </c>
      <c r="M1162" s="243">
        <v>203.9</v>
      </c>
      <c r="N1162" s="241">
        <v>232.3</v>
      </c>
      <c r="O1162" s="242">
        <v>245.3</v>
      </c>
      <c r="P1162" s="243">
        <v>257.10000000000002</v>
      </c>
      <c r="R1162" s="245"/>
      <c r="Z1162" s="244">
        <f t="shared" si="55"/>
        <v>116.59999999999707</v>
      </c>
      <c r="AA1162" s="376">
        <f t="shared" si="56"/>
        <v>4.4391004813216488E-6</v>
      </c>
    </row>
    <row r="1163" spans="1:27">
      <c r="A1163" s="244">
        <f t="shared" si="54"/>
        <v>116.69999999999706</v>
      </c>
      <c r="B1163" s="241">
        <v>124.4</v>
      </c>
      <c r="C1163" s="242">
        <v>130.80000000000001</v>
      </c>
      <c r="D1163" s="243">
        <v>141.30000000000001</v>
      </c>
      <c r="E1163" s="241">
        <v>137</v>
      </c>
      <c r="F1163" s="242">
        <v>144.1</v>
      </c>
      <c r="G1163" s="243">
        <v>155.30000000000001</v>
      </c>
      <c r="H1163" s="241">
        <v>155.5</v>
      </c>
      <c r="I1163" s="242">
        <v>163.6</v>
      </c>
      <c r="J1163" s="243">
        <v>175.6</v>
      </c>
      <c r="K1163" s="241">
        <v>187.5</v>
      </c>
      <c r="L1163" s="242">
        <v>197.4</v>
      </c>
      <c r="M1163" s="243">
        <v>210</v>
      </c>
      <c r="N1163" s="241">
        <v>236.7</v>
      </c>
      <c r="O1163" s="242">
        <v>249.6</v>
      </c>
      <c r="P1163" s="243">
        <v>260.5</v>
      </c>
      <c r="R1163" s="245"/>
      <c r="Z1163" s="244">
        <f t="shared" si="55"/>
        <v>116.69999999999706</v>
      </c>
      <c r="AA1163" s="376">
        <f t="shared" si="56"/>
        <v>4.4286477176070359E-6</v>
      </c>
    </row>
    <row r="1164" spans="1:27">
      <c r="A1164" s="244">
        <f t="shared" si="54"/>
        <v>116.79999999999706</v>
      </c>
      <c r="B1164" s="241">
        <v>131.4</v>
      </c>
      <c r="C1164" s="242">
        <v>137.6</v>
      </c>
      <c r="D1164" s="243">
        <v>147.69999999999999</v>
      </c>
      <c r="E1164" s="241">
        <v>144.30000000000001</v>
      </c>
      <c r="F1164" s="242">
        <v>151.19999999999999</v>
      </c>
      <c r="G1164" s="243">
        <v>161.9</v>
      </c>
      <c r="H1164" s="241">
        <v>163</v>
      </c>
      <c r="I1164" s="242">
        <v>170.9</v>
      </c>
      <c r="J1164" s="243">
        <v>182.3</v>
      </c>
      <c r="K1164" s="241">
        <v>194.7</v>
      </c>
      <c r="L1164" s="242">
        <v>204.3</v>
      </c>
      <c r="M1164" s="243">
        <v>216.2</v>
      </c>
      <c r="N1164" s="241">
        <v>240.9</v>
      </c>
      <c r="O1164" s="242">
        <v>253.6</v>
      </c>
      <c r="P1164" s="243">
        <v>263.8</v>
      </c>
      <c r="R1164" s="245"/>
      <c r="Z1164" s="244">
        <f t="shared" si="55"/>
        <v>116.79999999999706</v>
      </c>
      <c r="AA1164" s="376">
        <f t="shared" si="56"/>
        <v>4.418228488568096E-6</v>
      </c>
    </row>
    <row r="1165" spans="1:27">
      <c r="A1165" s="244">
        <f t="shared" si="54"/>
        <v>116.89999999999705</v>
      </c>
      <c r="B1165" s="241">
        <v>138.9</v>
      </c>
      <c r="C1165" s="242">
        <v>144.9</v>
      </c>
      <c r="D1165" s="243">
        <v>154.5</v>
      </c>
      <c r="E1165" s="241">
        <v>152</v>
      </c>
      <c r="F1165" s="242">
        <v>158.69999999999999</v>
      </c>
      <c r="G1165" s="243">
        <v>168.9</v>
      </c>
      <c r="H1165" s="241">
        <v>170.8</v>
      </c>
      <c r="I1165" s="242">
        <v>178.5</v>
      </c>
      <c r="J1165" s="243">
        <v>189.3</v>
      </c>
      <c r="K1165" s="241">
        <v>201.8</v>
      </c>
      <c r="L1165" s="242">
        <v>211.3</v>
      </c>
      <c r="M1165" s="243">
        <v>222.5</v>
      </c>
      <c r="N1165" s="241">
        <v>244.7</v>
      </c>
      <c r="O1165" s="242">
        <v>257.3</v>
      </c>
      <c r="P1165" s="243">
        <v>266.8</v>
      </c>
      <c r="R1165" s="245"/>
      <c r="Z1165" s="244">
        <f t="shared" si="55"/>
        <v>116.89999999999705</v>
      </c>
      <c r="AA1165" s="376">
        <f t="shared" si="56"/>
        <v>4.4078426580453119E-6</v>
      </c>
    </row>
    <row r="1166" spans="1:27">
      <c r="A1166" s="244">
        <f t="shared" si="54"/>
        <v>116.99999999999704</v>
      </c>
      <c r="B1166" s="241">
        <v>146.80000000000001</v>
      </c>
      <c r="C1166" s="242">
        <v>152.6</v>
      </c>
      <c r="D1166" s="243">
        <v>161.80000000000001</v>
      </c>
      <c r="E1166" s="241">
        <v>160.1</v>
      </c>
      <c r="F1166" s="242">
        <v>166.6</v>
      </c>
      <c r="G1166" s="243">
        <v>176.3</v>
      </c>
      <c r="H1166" s="241">
        <v>178.9</v>
      </c>
      <c r="I1166" s="242">
        <v>186.4</v>
      </c>
      <c r="J1166" s="243">
        <v>196.6</v>
      </c>
      <c r="K1166" s="241">
        <v>209</v>
      </c>
      <c r="L1166" s="242">
        <v>218.4</v>
      </c>
      <c r="M1166" s="243">
        <v>228.9</v>
      </c>
      <c r="N1166" s="241">
        <v>248.1</v>
      </c>
      <c r="O1166" s="242">
        <v>260.8</v>
      </c>
      <c r="P1166" s="243">
        <v>269.60000000000002</v>
      </c>
      <c r="R1166" s="245"/>
      <c r="Z1166" s="244">
        <f t="shared" si="55"/>
        <v>116.99999999999704</v>
      </c>
      <c r="AA1166" s="376">
        <f t="shared" si="56"/>
        <v>4.3974900905478288E-6</v>
      </c>
    </row>
    <row r="1167" spans="1:27">
      <c r="A1167" s="244">
        <f t="shared" si="54"/>
        <v>117.09999999999704</v>
      </c>
      <c r="B1167" s="241">
        <v>155.19999999999999</v>
      </c>
      <c r="C1167" s="242">
        <v>160.80000000000001</v>
      </c>
      <c r="D1167" s="243">
        <v>169.6</v>
      </c>
      <c r="E1167" s="241">
        <v>168.5</v>
      </c>
      <c r="F1167" s="242">
        <v>174.9</v>
      </c>
      <c r="G1167" s="243">
        <v>184.1</v>
      </c>
      <c r="H1167" s="241">
        <v>187.1</v>
      </c>
      <c r="I1167" s="242">
        <v>194.5</v>
      </c>
      <c r="J1167" s="243">
        <v>204.2</v>
      </c>
      <c r="K1167" s="241">
        <v>216</v>
      </c>
      <c r="L1167" s="242">
        <v>225.4</v>
      </c>
      <c r="M1167" s="243">
        <v>235.2</v>
      </c>
      <c r="N1167" s="241">
        <v>251.1</v>
      </c>
      <c r="O1167" s="242">
        <v>263.8</v>
      </c>
      <c r="P1167" s="243">
        <v>272.2</v>
      </c>
      <c r="R1167" s="245"/>
      <c r="Z1167" s="244">
        <f t="shared" si="55"/>
        <v>117.09999999999704</v>
      </c>
      <c r="AA1167" s="376">
        <f t="shared" si="56"/>
        <v>4.3871706512496025E-6</v>
      </c>
    </row>
    <row r="1168" spans="1:27">
      <c r="A1168" s="244">
        <f t="shared" si="54"/>
        <v>117.19999999999703</v>
      </c>
      <c r="B1168" s="241">
        <v>164</v>
      </c>
      <c r="C1168" s="242">
        <v>169.5</v>
      </c>
      <c r="D1168" s="243">
        <v>177.9</v>
      </c>
      <c r="E1168" s="241">
        <v>177.3</v>
      </c>
      <c r="F1168" s="242">
        <v>183.6</v>
      </c>
      <c r="G1168" s="243">
        <v>192.3</v>
      </c>
      <c r="H1168" s="241">
        <v>195.4</v>
      </c>
      <c r="I1168" s="242">
        <v>202.9</v>
      </c>
      <c r="J1168" s="243">
        <v>212</v>
      </c>
      <c r="K1168" s="241">
        <v>222.8</v>
      </c>
      <c r="L1168" s="242">
        <v>232.3</v>
      </c>
      <c r="M1168" s="243">
        <v>241.5</v>
      </c>
      <c r="N1168" s="241">
        <v>253.7</v>
      </c>
      <c r="O1168" s="242">
        <v>266.5</v>
      </c>
      <c r="P1168" s="243">
        <v>274.39999999999998</v>
      </c>
      <c r="R1168" s="245"/>
      <c r="Z1168" s="244">
        <f t="shared" si="55"/>
        <v>117.19999999999703</v>
      </c>
      <c r="AA1168" s="376">
        <f t="shared" si="56"/>
        <v>4.3768842059855632E-6</v>
      </c>
    </row>
    <row r="1169" spans="1:27">
      <c r="A1169" s="244">
        <f t="shared" si="54"/>
        <v>117.29999999999703</v>
      </c>
      <c r="B1169" s="241">
        <v>173.1</v>
      </c>
      <c r="C1169" s="242">
        <v>178.6</v>
      </c>
      <c r="D1169" s="243">
        <v>186.6</v>
      </c>
      <c r="E1169" s="241">
        <v>186.2</v>
      </c>
      <c r="F1169" s="242">
        <v>192.5</v>
      </c>
      <c r="G1169" s="243">
        <v>200.8</v>
      </c>
      <c r="H1169" s="241">
        <v>203.7</v>
      </c>
      <c r="I1169" s="242">
        <v>211.3</v>
      </c>
      <c r="J1169" s="243">
        <v>219.9</v>
      </c>
      <c r="K1169" s="241">
        <v>229.2</v>
      </c>
      <c r="L1169" s="242">
        <v>238.9</v>
      </c>
      <c r="M1169" s="243">
        <v>247.5</v>
      </c>
      <c r="N1169" s="241">
        <v>255.9</v>
      </c>
      <c r="O1169" s="242">
        <v>268.89999999999998</v>
      </c>
      <c r="P1169" s="243">
        <v>276.39999999999998</v>
      </c>
      <c r="R1169" s="245"/>
      <c r="Z1169" s="244">
        <f t="shared" si="55"/>
        <v>117.29999999999703</v>
      </c>
      <c r="AA1169" s="376">
        <f t="shared" si="56"/>
        <v>4.3666306212478307E-6</v>
      </c>
    </row>
    <row r="1170" spans="1:27">
      <c r="A1170" s="244">
        <f t="shared" si="54"/>
        <v>117.39999999999702</v>
      </c>
      <c r="B1170" s="241">
        <v>182.4</v>
      </c>
      <c r="C1170" s="242">
        <v>188.1</v>
      </c>
      <c r="D1170" s="243">
        <v>195.6</v>
      </c>
      <c r="E1170" s="241">
        <v>195.2</v>
      </c>
      <c r="F1170" s="242">
        <v>201.7</v>
      </c>
      <c r="G1170" s="243">
        <v>209.5</v>
      </c>
      <c r="H1170" s="241">
        <v>211.9</v>
      </c>
      <c r="I1170" s="242">
        <v>219.6</v>
      </c>
      <c r="J1170" s="243">
        <v>227.8</v>
      </c>
      <c r="K1170" s="241">
        <v>235.2</v>
      </c>
      <c r="L1170" s="242">
        <v>245.1</v>
      </c>
      <c r="M1170" s="243">
        <v>253.3</v>
      </c>
      <c r="N1170" s="241">
        <v>257.60000000000002</v>
      </c>
      <c r="O1170" s="242">
        <v>270.8</v>
      </c>
      <c r="P1170" s="243">
        <v>278</v>
      </c>
      <c r="R1170" s="245"/>
      <c r="Z1170" s="244">
        <f t="shared" si="55"/>
        <v>117.39999999999702</v>
      </c>
      <c r="AA1170" s="376">
        <f t="shared" si="56"/>
        <v>4.3564097641819289E-6</v>
      </c>
    </row>
    <row r="1171" spans="1:27">
      <c r="A1171" s="244">
        <f t="shared" si="54"/>
        <v>117.49999999999702</v>
      </c>
      <c r="B1171" s="241">
        <v>192</v>
      </c>
      <c r="C1171" s="242">
        <v>197.8</v>
      </c>
      <c r="D1171" s="243">
        <v>205</v>
      </c>
      <c r="E1171" s="241">
        <v>204.2</v>
      </c>
      <c r="F1171" s="242">
        <v>210.9</v>
      </c>
      <c r="G1171" s="243">
        <v>218.4</v>
      </c>
      <c r="H1171" s="241">
        <v>219.8</v>
      </c>
      <c r="I1171" s="242">
        <v>227.8</v>
      </c>
      <c r="J1171" s="243">
        <v>235.6</v>
      </c>
      <c r="K1171" s="241">
        <v>240.5</v>
      </c>
      <c r="L1171" s="242">
        <v>250.8</v>
      </c>
      <c r="M1171" s="243">
        <v>258.60000000000002</v>
      </c>
      <c r="N1171" s="241">
        <v>259.10000000000002</v>
      </c>
      <c r="O1171" s="242">
        <v>272.39999999999998</v>
      </c>
      <c r="P1171" s="243">
        <v>279.3</v>
      </c>
      <c r="R1171" s="245"/>
      <c r="Z1171" s="244">
        <f t="shared" si="55"/>
        <v>117.49999999999702</v>
      </c>
      <c r="AA1171" s="376">
        <f t="shared" si="56"/>
        <v>4.3462215025830308E-6</v>
      </c>
    </row>
    <row r="1172" spans="1:27">
      <c r="A1172" s="244">
        <f t="shared" si="54"/>
        <v>117.59999999999701</v>
      </c>
      <c r="B1172" s="241">
        <v>201.5</v>
      </c>
      <c r="C1172" s="242">
        <v>207.5</v>
      </c>
      <c r="D1172" s="243">
        <v>214.5</v>
      </c>
      <c r="E1172" s="241">
        <v>213</v>
      </c>
      <c r="F1172" s="242">
        <v>220</v>
      </c>
      <c r="G1172" s="243">
        <v>227.2</v>
      </c>
      <c r="H1172" s="241">
        <v>227.2</v>
      </c>
      <c r="I1172" s="242">
        <v>235.6</v>
      </c>
      <c r="J1172" s="243">
        <v>243.1</v>
      </c>
      <c r="K1172" s="241">
        <v>245.2</v>
      </c>
      <c r="L1172" s="242">
        <v>255.9</v>
      </c>
      <c r="M1172" s="243">
        <v>263.39999999999998</v>
      </c>
      <c r="N1172" s="241">
        <v>260.2</v>
      </c>
      <c r="O1172" s="242">
        <v>273.7</v>
      </c>
      <c r="P1172" s="243">
        <v>280.39999999999998</v>
      </c>
      <c r="R1172" s="245"/>
      <c r="Z1172" s="244">
        <f t="shared" si="55"/>
        <v>117.59999999999701</v>
      </c>
      <c r="AA1172" s="376">
        <f t="shared" si="56"/>
        <v>4.3360657048922425E-6</v>
      </c>
    </row>
    <row r="1173" spans="1:27">
      <c r="A1173" s="244">
        <f t="shared" si="54"/>
        <v>117.699999999997</v>
      </c>
      <c r="B1173" s="241">
        <v>210.7</v>
      </c>
      <c r="C1173" s="242">
        <v>217.2</v>
      </c>
      <c r="D1173" s="243">
        <v>224</v>
      </c>
      <c r="E1173" s="241">
        <v>221.3</v>
      </c>
      <c r="F1173" s="242">
        <v>228.8</v>
      </c>
      <c r="G1173" s="243">
        <v>235.8</v>
      </c>
      <c r="H1173" s="241">
        <v>234</v>
      </c>
      <c r="I1173" s="242">
        <v>242.9</v>
      </c>
      <c r="J1173" s="243">
        <v>250.1</v>
      </c>
      <c r="K1173" s="241">
        <v>249.2</v>
      </c>
      <c r="L1173" s="242">
        <v>260.3</v>
      </c>
      <c r="M1173" s="243">
        <v>267.60000000000002</v>
      </c>
      <c r="N1173" s="241">
        <v>261.10000000000002</v>
      </c>
      <c r="O1173" s="242">
        <v>274.7</v>
      </c>
      <c r="P1173" s="243">
        <v>281.3</v>
      </c>
      <c r="R1173" s="245"/>
      <c r="Z1173" s="244">
        <f t="shared" si="55"/>
        <v>117.699999999997</v>
      </c>
      <c r="AA1173" s="376">
        <f t="shared" si="56"/>
        <v>4.3259422401928976E-6</v>
      </c>
    </row>
    <row r="1174" spans="1:27">
      <c r="A1174" s="244">
        <f t="shared" si="54"/>
        <v>117.799999999997</v>
      </c>
      <c r="B1174" s="241">
        <v>219.6</v>
      </c>
      <c r="C1174" s="242">
        <v>226.6</v>
      </c>
      <c r="D1174" s="243">
        <v>233.2</v>
      </c>
      <c r="E1174" s="241">
        <v>229.1</v>
      </c>
      <c r="F1174" s="242">
        <v>237.1</v>
      </c>
      <c r="G1174" s="243">
        <v>244</v>
      </c>
      <c r="H1174" s="241">
        <v>240</v>
      </c>
      <c r="I1174" s="242">
        <v>249.5</v>
      </c>
      <c r="J1174" s="243">
        <v>256.60000000000002</v>
      </c>
      <c r="K1174" s="241">
        <v>252.4</v>
      </c>
      <c r="L1174" s="242">
        <v>264</v>
      </c>
      <c r="M1174" s="243">
        <v>271.10000000000002</v>
      </c>
      <c r="N1174" s="241">
        <v>261.8</v>
      </c>
      <c r="O1174" s="242">
        <v>275.5</v>
      </c>
      <c r="P1174" s="243">
        <v>281.89999999999998</v>
      </c>
      <c r="R1174" s="245"/>
      <c r="Z1174" s="244">
        <f t="shared" si="55"/>
        <v>117.799999999997</v>
      </c>
      <c r="AA1174" s="376">
        <f t="shared" si="56"/>
        <v>4.3158509782068754E-6</v>
      </c>
    </row>
    <row r="1175" spans="1:27">
      <c r="A1175" s="244">
        <f t="shared" si="54"/>
        <v>117.89999999999699</v>
      </c>
      <c r="B1175" s="241">
        <v>227.8</v>
      </c>
      <c r="C1175" s="242">
        <v>235.4</v>
      </c>
      <c r="D1175" s="243">
        <v>242</v>
      </c>
      <c r="E1175" s="241">
        <v>236</v>
      </c>
      <c r="F1175" s="242">
        <v>244.7</v>
      </c>
      <c r="G1175" s="243">
        <v>251.5</v>
      </c>
      <c r="H1175" s="241">
        <v>245.1</v>
      </c>
      <c r="I1175" s="242">
        <v>255.2</v>
      </c>
      <c r="J1175" s="243">
        <v>262.2</v>
      </c>
      <c r="K1175" s="241">
        <v>254.9</v>
      </c>
      <c r="L1175" s="242">
        <v>266.89999999999998</v>
      </c>
      <c r="M1175" s="243">
        <v>273.89999999999998</v>
      </c>
      <c r="N1175" s="241">
        <v>262.3</v>
      </c>
      <c r="O1175" s="242">
        <v>276.2</v>
      </c>
      <c r="P1175" s="243">
        <v>282.39999999999998</v>
      </c>
      <c r="R1175" s="245"/>
      <c r="Z1175" s="244">
        <f t="shared" si="55"/>
        <v>117.89999999999699</v>
      </c>
      <c r="AA1175" s="376">
        <f t="shared" si="56"/>
        <v>4.3057917892909568E-6</v>
      </c>
    </row>
    <row r="1176" spans="1:27">
      <c r="A1176" s="244">
        <f t="shared" si="54"/>
        <v>117.99999999999699</v>
      </c>
      <c r="B1176" s="241">
        <v>235</v>
      </c>
      <c r="C1176" s="242">
        <v>243.4</v>
      </c>
      <c r="D1176" s="243">
        <v>250</v>
      </c>
      <c r="E1176" s="241">
        <v>241.8</v>
      </c>
      <c r="F1176" s="242">
        <v>251.2</v>
      </c>
      <c r="G1176" s="243">
        <v>258.10000000000002</v>
      </c>
      <c r="H1176" s="241">
        <v>249.1</v>
      </c>
      <c r="I1176" s="242">
        <v>259.8</v>
      </c>
      <c r="J1176" s="243">
        <v>266.8</v>
      </c>
      <c r="K1176" s="241">
        <v>256.7</v>
      </c>
      <c r="L1176" s="242">
        <v>269.10000000000002</v>
      </c>
      <c r="M1176" s="243">
        <v>276</v>
      </c>
      <c r="N1176" s="241">
        <v>262.8</v>
      </c>
      <c r="O1176" s="242">
        <v>276.7</v>
      </c>
      <c r="P1176" s="243">
        <v>282.89999999999998</v>
      </c>
      <c r="R1176" s="245"/>
      <c r="Z1176" s="244">
        <f t="shared" si="55"/>
        <v>117.99999999999699</v>
      </c>
      <c r="AA1176" s="376">
        <f t="shared" si="56"/>
        <v>4.2957645444331859E-6</v>
      </c>
    </row>
    <row r="1177" spans="1:27">
      <c r="A1177" s="244">
        <f t="shared" si="54"/>
        <v>118.09999999999698</v>
      </c>
      <c r="B1177" s="241">
        <v>241.1</v>
      </c>
      <c r="C1177" s="242">
        <v>250.3</v>
      </c>
      <c r="D1177" s="243">
        <v>257</v>
      </c>
      <c r="E1177" s="241">
        <v>246.6</v>
      </c>
      <c r="F1177" s="242">
        <v>256.60000000000002</v>
      </c>
      <c r="G1177" s="243">
        <v>263.60000000000002</v>
      </c>
      <c r="H1177" s="241">
        <v>252.2</v>
      </c>
      <c r="I1177" s="242">
        <v>263.5</v>
      </c>
      <c r="J1177" s="243">
        <v>270.5</v>
      </c>
      <c r="K1177" s="241">
        <v>258</v>
      </c>
      <c r="L1177" s="242">
        <v>270.7</v>
      </c>
      <c r="M1177" s="243">
        <v>277.5</v>
      </c>
      <c r="N1177" s="241">
        <v>263.2</v>
      </c>
      <c r="O1177" s="242">
        <v>277.2</v>
      </c>
      <c r="P1177" s="243">
        <v>283.2</v>
      </c>
      <c r="R1177" s="245"/>
      <c r="Z1177" s="244">
        <f t="shared" si="55"/>
        <v>118.09999999999698</v>
      </c>
      <c r="AA1177" s="376">
        <f t="shared" si="56"/>
        <v>4.2857691152492729E-6</v>
      </c>
    </row>
    <row r="1178" spans="1:27">
      <c r="A1178" s="244">
        <f t="shared" si="54"/>
        <v>118.19999999999698</v>
      </c>
      <c r="B1178" s="241">
        <v>246</v>
      </c>
      <c r="C1178" s="242">
        <v>255.8</v>
      </c>
      <c r="D1178" s="243">
        <v>262.8</v>
      </c>
      <c r="E1178" s="241">
        <v>250.1</v>
      </c>
      <c r="F1178" s="242">
        <v>260.8</v>
      </c>
      <c r="G1178" s="243">
        <v>267.89999999999998</v>
      </c>
      <c r="H1178" s="241">
        <v>254.4</v>
      </c>
      <c r="I1178" s="242">
        <v>266.2</v>
      </c>
      <c r="J1178" s="243">
        <v>273.10000000000002</v>
      </c>
      <c r="K1178" s="241">
        <v>259</v>
      </c>
      <c r="L1178" s="242">
        <v>271.89999999999998</v>
      </c>
      <c r="M1178" s="243">
        <v>278.60000000000002</v>
      </c>
      <c r="N1178" s="241">
        <v>263.5</v>
      </c>
      <c r="O1178" s="242">
        <v>277.5</v>
      </c>
      <c r="P1178" s="243">
        <v>283.5</v>
      </c>
      <c r="R1178" s="245"/>
      <c r="Z1178" s="244">
        <f t="shared" si="55"/>
        <v>118.19999999999698</v>
      </c>
      <c r="AA1178" s="376">
        <f t="shared" si="56"/>
        <v>4.2758053739790046E-6</v>
      </c>
    </row>
    <row r="1179" spans="1:27">
      <c r="A1179" s="244">
        <f t="shared" si="54"/>
        <v>118.29999999999697</v>
      </c>
      <c r="B1179" s="241">
        <v>249.5</v>
      </c>
      <c r="C1179" s="242">
        <v>260</v>
      </c>
      <c r="D1179" s="243">
        <v>267.10000000000002</v>
      </c>
      <c r="E1179" s="241">
        <v>252.6</v>
      </c>
      <c r="F1179" s="242">
        <v>263.89999999999998</v>
      </c>
      <c r="G1179" s="243">
        <v>271</v>
      </c>
      <c r="H1179" s="241">
        <v>255.9</v>
      </c>
      <c r="I1179" s="242">
        <v>268</v>
      </c>
      <c r="J1179" s="243">
        <v>275</v>
      </c>
      <c r="K1179" s="241">
        <v>259.60000000000002</v>
      </c>
      <c r="L1179" s="242">
        <v>272.7</v>
      </c>
      <c r="M1179" s="243">
        <v>279.3</v>
      </c>
      <c r="N1179" s="241">
        <v>263.7</v>
      </c>
      <c r="O1179" s="242">
        <v>277.8</v>
      </c>
      <c r="P1179" s="243">
        <v>283.8</v>
      </c>
      <c r="R1179" s="245"/>
      <c r="Z1179" s="244">
        <f t="shared" si="55"/>
        <v>118.29999999999697</v>
      </c>
      <c r="AA1179" s="376">
        <f t="shared" si="56"/>
        <v>4.2658731934826925E-6</v>
      </c>
    </row>
    <row r="1180" spans="1:27">
      <c r="A1180" s="244">
        <f t="shared" si="54"/>
        <v>118.39999999999696</v>
      </c>
      <c r="B1180" s="241">
        <v>251.8</v>
      </c>
      <c r="C1180" s="242">
        <v>262.8</v>
      </c>
      <c r="D1180" s="243">
        <v>270.10000000000002</v>
      </c>
      <c r="E1180" s="241">
        <v>254.2</v>
      </c>
      <c r="F1180" s="242">
        <v>265.89999999999998</v>
      </c>
      <c r="G1180" s="243">
        <v>273</v>
      </c>
      <c r="H1180" s="241">
        <v>256.8</v>
      </c>
      <c r="I1180" s="242">
        <v>269.2</v>
      </c>
      <c r="J1180" s="243">
        <v>276.10000000000002</v>
      </c>
      <c r="K1180" s="241">
        <v>260.10000000000002</v>
      </c>
      <c r="L1180" s="242">
        <v>273.3</v>
      </c>
      <c r="M1180" s="243">
        <v>279.8</v>
      </c>
      <c r="N1180" s="241">
        <v>263.89999999999998</v>
      </c>
      <c r="O1180" s="242">
        <v>278.10000000000002</v>
      </c>
      <c r="P1180" s="243">
        <v>284</v>
      </c>
      <c r="R1180" s="245"/>
      <c r="Z1180" s="244">
        <f t="shared" si="55"/>
        <v>118.39999999999696</v>
      </c>
      <c r="AA1180" s="376">
        <f t="shared" si="56"/>
        <v>4.2559724472376352E-6</v>
      </c>
    </row>
    <row r="1181" spans="1:27">
      <c r="A1181" s="244">
        <f t="shared" si="54"/>
        <v>118.49999999999696</v>
      </c>
      <c r="B1181" s="241">
        <v>253.2</v>
      </c>
      <c r="C1181" s="242">
        <v>264.60000000000002</v>
      </c>
      <c r="D1181" s="243">
        <v>271.89999999999998</v>
      </c>
      <c r="E1181" s="241">
        <v>255.1</v>
      </c>
      <c r="F1181" s="242">
        <v>267</v>
      </c>
      <c r="G1181" s="243">
        <v>274.2</v>
      </c>
      <c r="H1181" s="241">
        <v>257.39999999999998</v>
      </c>
      <c r="I1181" s="242">
        <v>269.89999999999998</v>
      </c>
      <c r="J1181" s="243">
        <v>276.8</v>
      </c>
      <c r="K1181" s="241">
        <v>260.5</v>
      </c>
      <c r="L1181" s="242">
        <v>273.7</v>
      </c>
      <c r="M1181" s="243">
        <v>280.2</v>
      </c>
      <c r="N1181" s="241">
        <v>264.10000000000002</v>
      </c>
      <c r="O1181" s="242">
        <v>278.3</v>
      </c>
      <c r="P1181" s="243">
        <v>284.10000000000002</v>
      </c>
      <c r="R1181" s="245"/>
      <c r="Z1181" s="244">
        <f t="shared" si="55"/>
        <v>118.49999999999696</v>
      </c>
      <c r="AA1181" s="376">
        <f t="shared" si="56"/>
        <v>4.2461030093346052E-6</v>
      </c>
    </row>
    <row r="1182" spans="1:27">
      <c r="A1182" s="244">
        <f t="shared" si="54"/>
        <v>118.59999999999695</v>
      </c>
      <c r="B1182" s="241">
        <v>253.9</v>
      </c>
      <c r="C1182" s="242">
        <v>265.5</v>
      </c>
      <c r="D1182" s="243">
        <v>272.8</v>
      </c>
      <c r="E1182" s="241">
        <v>255.6</v>
      </c>
      <c r="F1182" s="242">
        <v>267.7</v>
      </c>
      <c r="G1182" s="243">
        <v>274.8</v>
      </c>
      <c r="H1182" s="241">
        <v>257.8</v>
      </c>
      <c r="I1182" s="242">
        <v>270.39999999999998</v>
      </c>
      <c r="J1182" s="243">
        <v>277.2</v>
      </c>
      <c r="K1182" s="241">
        <v>260.7</v>
      </c>
      <c r="L1182" s="242">
        <v>274</v>
      </c>
      <c r="M1182" s="243">
        <v>280.39999999999998</v>
      </c>
      <c r="N1182" s="241">
        <v>264.2</v>
      </c>
      <c r="O1182" s="242">
        <v>278.39999999999998</v>
      </c>
      <c r="P1182" s="243">
        <v>284.2</v>
      </c>
      <c r="R1182" s="245"/>
      <c r="Z1182" s="244">
        <f t="shared" si="55"/>
        <v>118.59999999999695</v>
      </c>
      <c r="AA1182" s="376">
        <f t="shared" si="56"/>
        <v>4.2362647544743624E-6</v>
      </c>
    </row>
    <row r="1183" spans="1:27">
      <c r="A1183" s="244">
        <f t="shared" si="54"/>
        <v>118.69999999999695</v>
      </c>
      <c r="B1183" s="241">
        <v>254.1</v>
      </c>
      <c r="C1183" s="242">
        <v>265.89999999999998</v>
      </c>
      <c r="D1183" s="243">
        <v>273.2</v>
      </c>
      <c r="E1183" s="241">
        <v>255.8</v>
      </c>
      <c r="F1183" s="242">
        <v>268</v>
      </c>
      <c r="G1183" s="243">
        <v>275.10000000000002</v>
      </c>
      <c r="H1183" s="241">
        <v>257.89999999999998</v>
      </c>
      <c r="I1183" s="242">
        <v>270.60000000000002</v>
      </c>
      <c r="J1183" s="243">
        <v>277.39999999999998</v>
      </c>
      <c r="K1183" s="241">
        <v>260.8</v>
      </c>
      <c r="L1183" s="242">
        <v>274.10000000000002</v>
      </c>
      <c r="M1183" s="243">
        <v>280.5</v>
      </c>
      <c r="N1183" s="241">
        <v>264.2</v>
      </c>
      <c r="O1183" s="242">
        <v>278.5</v>
      </c>
      <c r="P1183" s="243">
        <v>284.2</v>
      </c>
      <c r="R1183" s="245"/>
      <c r="Z1183" s="244">
        <f t="shared" si="55"/>
        <v>118.69999999999695</v>
      </c>
      <c r="AA1183" s="376">
        <f t="shared" si="56"/>
        <v>4.2264575579641846E-6</v>
      </c>
    </row>
    <row r="1184" spans="1:27">
      <c r="A1184" s="244">
        <f t="shared" si="54"/>
        <v>118.79999999999694</v>
      </c>
      <c r="B1184" s="241">
        <v>254.1</v>
      </c>
      <c r="C1184" s="242">
        <v>265.89999999999998</v>
      </c>
      <c r="D1184" s="243">
        <v>273.2</v>
      </c>
      <c r="E1184" s="241">
        <v>255.8</v>
      </c>
      <c r="F1184" s="242">
        <v>268</v>
      </c>
      <c r="G1184" s="243">
        <v>275.10000000000002</v>
      </c>
      <c r="H1184" s="241">
        <v>257.89999999999998</v>
      </c>
      <c r="I1184" s="242">
        <v>270.60000000000002</v>
      </c>
      <c r="J1184" s="243">
        <v>277.39999999999998</v>
      </c>
      <c r="K1184" s="241">
        <v>260.8</v>
      </c>
      <c r="L1184" s="242">
        <v>274.10000000000002</v>
      </c>
      <c r="M1184" s="243">
        <v>280.5</v>
      </c>
      <c r="N1184" s="241">
        <v>264.3</v>
      </c>
      <c r="O1184" s="242">
        <v>278.5</v>
      </c>
      <c r="P1184" s="243">
        <v>284.2</v>
      </c>
      <c r="R1184" s="245"/>
      <c r="Z1184" s="244">
        <f t="shared" si="55"/>
        <v>118.79999999999694</v>
      </c>
      <c r="AA1184" s="376">
        <f t="shared" si="56"/>
        <v>4.2166812957144327E-6</v>
      </c>
    </row>
    <row r="1185" spans="1:27">
      <c r="A1185" s="244">
        <f t="shared" si="54"/>
        <v>118.89999999999694</v>
      </c>
      <c r="B1185" s="241">
        <v>253.9</v>
      </c>
      <c r="C1185" s="242">
        <v>265.5</v>
      </c>
      <c r="D1185" s="243">
        <v>272.8</v>
      </c>
      <c r="E1185" s="241">
        <v>255.6</v>
      </c>
      <c r="F1185" s="242">
        <v>267.7</v>
      </c>
      <c r="G1185" s="243">
        <v>274.8</v>
      </c>
      <c r="H1185" s="241">
        <v>257.8</v>
      </c>
      <c r="I1185" s="242">
        <v>270.39999999999998</v>
      </c>
      <c r="J1185" s="243">
        <v>277.2</v>
      </c>
      <c r="K1185" s="241">
        <v>260.7</v>
      </c>
      <c r="L1185" s="242">
        <v>274</v>
      </c>
      <c r="M1185" s="243">
        <v>280.39999999999998</v>
      </c>
      <c r="N1185" s="241">
        <v>264.2</v>
      </c>
      <c r="O1185" s="242">
        <v>278.39999999999998</v>
      </c>
      <c r="P1185" s="243">
        <v>284.2</v>
      </c>
      <c r="R1185" s="245"/>
      <c r="Z1185" s="244">
        <f t="shared" si="55"/>
        <v>118.89999999999694</v>
      </c>
      <c r="AA1185" s="376">
        <f t="shared" si="56"/>
        <v>4.2069358442351147E-6</v>
      </c>
    </row>
    <row r="1186" spans="1:27">
      <c r="A1186" s="244">
        <f t="shared" si="54"/>
        <v>118.99999999999693</v>
      </c>
      <c r="B1186" s="241">
        <v>253.2</v>
      </c>
      <c r="C1186" s="242">
        <v>264.60000000000002</v>
      </c>
      <c r="D1186" s="243">
        <v>271.89999999999998</v>
      </c>
      <c r="E1186" s="241">
        <v>255.1</v>
      </c>
      <c r="F1186" s="242">
        <v>267.10000000000002</v>
      </c>
      <c r="G1186" s="243">
        <v>274.2</v>
      </c>
      <c r="H1186" s="241">
        <v>257.39999999999998</v>
      </c>
      <c r="I1186" s="242">
        <v>270</v>
      </c>
      <c r="J1186" s="243">
        <v>276.8</v>
      </c>
      <c r="K1186" s="241">
        <v>260.5</v>
      </c>
      <c r="L1186" s="242">
        <v>273.8</v>
      </c>
      <c r="M1186" s="243">
        <v>280.2</v>
      </c>
      <c r="N1186" s="241">
        <v>264.10000000000002</v>
      </c>
      <c r="O1186" s="242">
        <v>278.3</v>
      </c>
      <c r="P1186" s="243">
        <v>284.10000000000002</v>
      </c>
      <c r="R1186" s="245"/>
      <c r="Z1186" s="244">
        <f t="shared" si="55"/>
        <v>118.99999999999693</v>
      </c>
      <c r="AA1186" s="376">
        <f t="shared" si="56"/>
        <v>4.1972210806324995E-6</v>
      </c>
    </row>
    <row r="1187" spans="1:27">
      <c r="A1187" s="244">
        <f t="shared" si="54"/>
        <v>119.09999999999692</v>
      </c>
      <c r="B1187" s="241">
        <v>251.8</v>
      </c>
      <c r="C1187" s="242">
        <v>262.89999999999998</v>
      </c>
      <c r="D1187" s="243">
        <v>270.2</v>
      </c>
      <c r="E1187" s="241">
        <v>254.2</v>
      </c>
      <c r="F1187" s="242">
        <v>265.89999999999998</v>
      </c>
      <c r="G1187" s="243">
        <v>273.10000000000002</v>
      </c>
      <c r="H1187" s="241">
        <v>256.89999999999998</v>
      </c>
      <c r="I1187" s="242">
        <v>269.2</v>
      </c>
      <c r="J1187" s="243">
        <v>276.2</v>
      </c>
      <c r="K1187" s="241">
        <v>260.10000000000002</v>
      </c>
      <c r="L1187" s="242">
        <v>273.3</v>
      </c>
      <c r="M1187" s="243">
        <v>279.89999999999998</v>
      </c>
      <c r="N1187" s="241">
        <v>264</v>
      </c>
      <c r="O1187" s="242">
        <v>278.10000000000002</v>
      </c>
      <c r="P1187" s="243">
        <v>284</v>
      </c>
      <c r="R1187" s="245"/>
      <c r="Z1187" s="244">
        <f t="shared" si="55"/>
        <v>119.09999999999692</v>
      </c>
      <c r="AA1187" s="376">
        <f t="shared" si="56"/>
        <v>4.1875368826057352E-6</v>
      </c>
    </row>
    <row r="1188" spans="1:27">
      <c r="A1188" s="244">
        <f t="shared" si="54"/>
        <v>119.19999999999692</v>
      </c>
      <c r="B1188" s="241">
        <v>249.5</v>
      </c>
      <c r="C1188" s="242">
        <v>260.10000000000002</v>
      </c>
      <c r="D1188" s="243">
        <v>267.2</v>
      </c>
      <c r="E1188" s="241">
        <v>252.7</v>
      </c>
      <c r="F1188" s="242">
        <v>263.89999999999998</v>
      </c>
      <c r="G1188" s="243">
        <v>271.10000000000002</v>
      </c>
      <c r="H1188" s="241">
        <v>255.9</v>
      </c>
      <c r="I1188" s="242">
        <v>268</v>
      </c>
      <c r="J1188" s="243">
        <v>275</v>
      </c>
      <c r="K1188" s="241">
        <v>259.7</v>
      </c>
      <c r="L1188" s="242">
        <v>272.8</v>
      </c>
      <c r="M1188" s="243">
        <v>279.39999999999998</v>
      </c>
      <c r="N1188" s="241">
        <v>263.8</v>
      </c>
      <c r="O1188" s="242">
        <v>277.89999999999998</v>
      </c>
      <c r="P1188" s="243">
        <v>283.8</v>
      </c>
      <c r="R1188" s="245"/>
      <c r="Z1188" s="244">
        <f t="shared" si="55"/>
        <v>119.19999999999692</v>
      </c>
      <c r="AA1188" s="376">
        <f t="shared" si="56"/>
        <v>4.1778831284434946E-6</v>
      </c>
    </row>
    <row r="1189" spans="1:27">
      <c r="A1189" s="244">
        <f t="shared" si="54"/>
        <v>119.29999999999691</v>
      </c>
      <c r="B1189" s="241">
        <v>246</v>
      </c>
      <c r="C1189" s="242">
        <v>255.9</v>
      </c>
      <c r="D1189" s="243">
        <v>262.89999999999998</v>
      </c>
      <c r="E1189" s="241">
        <v>250.2</v>
      </c>
      <c r="F1189" s="242">
        <v>261</v>
      </c>
      <c r="G1189" s="243">
        <v>268</v>
      </c>
      <c r="H1189" s="241">
        <v>254.5</v>
      </c>
      <c r="I1189" s="242">
        <v>266.2</v>
      </c>
      <c r="J1189" s="243">
        <v>273.2</v>
      </c>
      <c r="K1189" s="241">
        <v>259</v>
      </c>
      <c r="L1189" s="242">
        <v>271.89999999999998</v>
      </c>
      <c r="M1189" s="243">
        <v>278.60000000000002</v>
      </c>
      <c r="N1189" s="241">
        <v>263.5</v>
      </c>
      <c r="O1189" s="242">
        <v>277.60000000000002</v>
      </c>
      <c r="P1189" s="243">
        <v>283.60000000000002</v>
      </c>
      <c r="R1189" s="245"/>
      <c r="Z1189" s="244">
        <f t="shared" si="55"/>
        <v>119.29999999999691</v>
      </c>
      <c r="AA1189" s="376">
        <f t="shared" si="56"/>
        <v>4.1682596970206415E-6</v>
      </c>
    </row>
    <row r="1190" spans="1:27">
      <c r="A1190" s="244">
        <f t="shared" si="54"/>
        <v>119.39999999999691</v>
      </c>
      <c r="B1190" s="241">
        <v>241.3</v>
      </c>
      <c r="C1190" s="242">
        <v>250.4</v>
      </c>
      <c r="D1190" s="243">
        <v>257.3</v>
      </c>
      <c r="E1190" s="241">
        <v>246.7</v>
      </c>
      <c r="F1190" s="242">
        <v>256.8</v>
      </c>
      <c r="G1190" s="243">
        <v>263.8</v>
      </c>
      <c r="H1190" s="241">
        <v>252.3</v>
      </c>
      <c r="I1190" s="242">
        <v>263.60000000000002</v>
      </c>
      <c r="J1190" s="243">
        <v>270.60000000000002</v>
      </c>
      <c r="K1190" s="241">
        <v>258.10000000000002</v>
      </c>
      <c r="L1190" s="242">
        <v>270.8</v>
      </c>
      <c r="M1190" s="243">
        <v>277.60000000000002</v>
      </c>
      <c r="N1190" s="241">
        <v>263.2</v>
      </c>
      <c r="O1190" s="242">
        <v>277.2</v>
      </c>
      <c r="P1190" s="243">
        <v>283.3</v>
      </c>
      <c r="R1190" s="245"/>
      <c r="Z1190" s="244">
        <f t="shared" si="55"/>
        <v>119.39999999999691</v>
      </c>
      <c r="AA1190" s="376">
        <f t="shared" si="56"/>
        <v>4.1586664677949219E-6</v>
      </c>
    </row>
    <row r="1191" spans="1:27">
      <c r="A1191" s="244">
        <f t="shared" si="54"/>
        <v>119.4999999999969</v>
      </c>
      <c r="B1191" s="241">
        <v>235.2</v>
      </c>
      <c r="C1191" s="242">
        <v>243.7</v>
      </c>
      <c r="D1191" s="243">
        <v>250.4</v>
      </c>
      <c r="E1191" s="241">
        <v>242</v>
      </c>
      <c r="F1191" s="242">
        <v>251.4</v>
      </c>
      <c r="G1191" s="243">
        <v>258.3</v>
      </c>
      <c r="H1191" s="241">
        <v>249.2</v>
      </c>
      <c r="I1191" s="242">
        <v>260</v>
      </c>
      <c r="J1191" s="243">
        <v>267</v>
      </c>
      <c r="K1191" s="241">
        <v>256.8</v>
      </c>
      <c r="L1191" s="242">
        <v>269.2</v>
      </c>
      <c r="M1191" s="243">
        <v>276.10000000000002</v>
      </c>
      <c r="N1191" s="241">
        <v>262.8</v>
      </c>
      <c r="O1191" s="242">
        <v>276.8</v>
      </c>
      <c r="P1191" s="243">
        <v>282.89999999999998</v>
      </c>
      <c r="R1191" s="245"/>
      <c r="Z1191" s="244">
        <f t="shared" si="55"/>
        <v>119.4999999999969</v>
      </c>
      <c r="AA1191" s="376">
        <f t="shared" si="56"/>
        <v>4.1491033208036691E-6</v>
      </c>
    </row>
    <row r="1192" spans="1:27">
      <c r="A1192" s="244">
        <f t="shared" si="54"/>
        <v>119.5999999999969</v>
      </c>
      <c r="B1192" s="241">
        <v>228</v>
      </c>
      <c r="C1192" s="242">
        <v>235.8</v>
      </c>
      <c r="D1192" s="243">
        <v>242.5</v>
      </c>
      <c r="E1192" s="241">
        <v>236.1</v>
      </c>
      <c r="F1192" s="242">
        <v>244.9</v>
      </c>
      <c r="G1192" s="243">
        <v>251.8</v>
      </c>
      <c r="H1192" s="241">
        <v>245.2</v>
      </c>
      <c r="I1192" s="242">
        <v>255.4</v>
      </c>
      <c r="J1192" s="243">
        <v>262.39999999999998</v>
      </c>
      <c r="K1192" s="241">
        <v>255</v>
      </c>
      <c r="L1192" s="242">
        <v>267</v>
      </c>
      <c r="M1192" s="243">
        <v>274</v>
      </c>
      <c r="N1192" s="241">
        <v>262.3</v>
      </c>
      <c r="O1192" s="242">
        <v>276.2</v>
      </c>
      <c r="P1192" s="243">
        <v>282.5</v>
      </c>
      <c r="R1192" s="245"/>
      <c r="Z1192" s="244">
        <f t="shared" si="55"/>
        <v>119.5999999999969</v>
      </c>
      <c r="AA1192" s="376">
        <f t="shared" si="56"/>
        <v>4.1395701366605419E-6</v>
      </c>
    </row>
    <row r="1193" spans="1:27">
      <c r="A1193" s="244">
        <f t="shared" si="54"/>
        <v>119.69999999999689</v>
      </c>
      <c r="B1193" s="241">
        <v>219.9</v>
      </c>
      <c r="C1193" s="242">
        <v>227</v>
      </c>
      <c r="D1193" s="243">
        <v>233.8</v>
      </c>
      <c r="E1193" s="241">
        <v>229.3</v>
      </c>
      <c r="F1193" s="242">
        <v>237.5</v>
      </c>
      <c r="G1193" s="243">
        <v>244.5</v>
      </c>
      <c r="H1193" s="241">
        <v>240.2</v>
      </c>
      <c r="I1193" s="242">
        <v>249.8</v>
      </c>
      <c r="J1193" s="243">
        <v>257</v>
      </c>
      <c r="K1193" s="241">
        <v>252.5</v>
      </c>
      <c r="L1193" s="242">
        <v>264.2</v>
      </c>
      <c r="M1193" s="243">
        <v>271.3</v>
      </c>
      <c r="N1193" s="241">
        <v>261.8</v>
      </c>
      <c r="O1193" s="242">
        <v>275.60000000000002</v>
      </c>
      <c r="P1193" s="243">
        <v>282</v>
      </c>
      <c r="R1193" s="245"/>
      <c r="Z1193" s="244">
        <f t="shared" si="55"/>
        <v>119.69999999999689</v>
      </c>
      <c r="AA1193" s="376">
        <f t="shared" si="56"/>
        <v>4.1300667965522671E-6</v>
      </c>
    </row>
    <row r="1194" spans="1:27">
      <c r="A1194" s="244">
        <f t="shared" si="54"/>
        <v>119.79999999999688</v>
      </c>
      <c r="B1194" s="241">
        <v>211.1</v>
      </c>
      <c r="C1194" s="242">
        <v>217.7</v>
      </c>
      <c r="D1194" s="243">
        <v>224.7</v>
      </c>
      <c r="E1194" s="241">
        <v>221.6</v>
      </c>
      <c r="F1194" s="242">
        <v>229.3</v>
      </c>
      <c r="G1194" s="243">
        <v>236.4</v>
      </c>
      <c r="H1194" s="241">
        <v>234.2</v>
      </c>
      <c r="I1194" s="242">
        <v>243.3</v>
      </c>
      <c r="J1194" s="243">
        <v>250.7</v>
      </c>
      <c r="K1194" s="241">
        <v>249.3</v>
      </c>
      <c r="L1194" s="242">
        <v>260.60000000000002</v>
      </c>
      <c r="M1194" s="243">
        <v>267.89999999999998</v>
      </c>
      <c r="N1194" s="241">
        <v>261.10000000000002</v>
      </c>
      <c r="O1194" s="242">
        <v>274.8</v>
      </c>
      <c r="P1194" s="243">
        <v>281.39999999999998</v>
      </c>
      <c r="R1194" s="245"/>
      <c r="Z1194" s="244">
        <f t="shared" si="55"/>
        <v>119.79999999999688</v>
      </c>
      <c r="AA1194" s="376">
        <f t="shared" si="56"/>
        <v>4.1205931822354269E-6</v>
      </c>
    </row>
    <row r="1195" spans="1:27">
      <c r="A1195" s="244">
        <f t="shared" si="54"/>
        <v>119.89999999999688</v>
      </c>
      <c r="B1195" s="241">
        <v>201.8</v>
      </c>
      <c r="C1195" s="242">
        <v>208.1</v>
      </c>
      <c r="D1195" s="243">
        <v>215.3</v>
      </c>
      <c r="E1195" s="241">
        <v>213.3</v>
      </c>
      <c r="F1195" s="242">
        <v>220.5</v>
      </c>
      <c r="G1195" s="243">
        <v>228</v>
      </c>
      <c r="H1195" s="241">
        <v>227.5</v>
      </c>
      <c r="I1195" s="242">
        <v>236.1</v>
      </c>
      <c r="J1195" s="243">
        <v>243.8</v>
      </c>
      <c r="K1195" s="241">
        <v>245.4</v>
      </c>
      <c r="L1195" s="242">
        <v>256.2</v>
      </c>
      <c r="M1195" s="243">
        <v>263.89999999999998</v>
      </c>
      <c r="N1195" s="241">
        <v>260.2</v>
      </c>
      <c r="O1195" s="242">
        <v>273.8</v>
      </c>
      <c r="P1195" s="243">
        <v>280.60000000000002</v>
      </c>
      <c r="R1195" s="245"/>
      <c r="Z1195" s="244">
        <f t="shared" si="55"/>
        <v>119.89999999999688</v>
      </c>
      <c r="AA1195" s="376">
        <f t="shared" si="56"/>
        <v>4.1111491760332376E-6</v>
      </c>
    </row>
    <row r="1196" spans="1:27" ht="13" thickBot="1">
      <c r="A1196" s="246">
        <f t="shared" si="54"/>
        <v>119.99999999999687</v>
      </c>
      <c r="B1196" s="247">
        <v>192.4</v>
      </c>
      <c r="C1196" s="248">
        <v>198.4</v>
      </c>
      <c r="D1196" s="249">
        <v>206</v>
      </c>
      <c r="E1196" s="247">
        <v>204.6</v>
      </c>
      <c r="F1196" s="248">
        <v>211.5</v>
      </c>
      <c r="G1196" s="249">
        <v>219.3</v>
      </c>
      <c r="H1196" s="247">
        <v>220.1</v>
      </c>
      <c r="I1196" s="248">
        <v>228.4</v>
      </c>
      <c r="J1196" s="249">
        <v>236.4</v>
      </c>
      <c r="K1196" s="247">
        <v>240.8</v>
      </c>
      <c r="L1196" s="248">
        <v>251.2</v>
      </c>
      <c r="M1196" s="249">
        <v>259.2</v>
      </c>
      <c r="N1196" s="247">
        <v>259.10000000000002</v>
      </c>
      <c r="O1196" s="248">
        <v>272.5</v>
      </c>
      <c r="P1196" s="249">
        <v>279.5</v>
      </c>
      <c r="R1196" s="245"/>
      <c r="Z1196" s="246">
        <f t="shared" si="55"/>
        <v>119.99999999999687</v>
      </c>
      <c r="AA1196" s="377">
        <f t="shared" si="56"/>
        <v>4.1017346608323767E-6</v>
      </c>
    </row>
  </sheetData>
  <mergeCells count="11">
    <mergeCell ref="Z3:AA3"/>
    <mergeCell ref="K3:M3"/>
    <mergeCell ref="K4:M4"/>
    <mergeCell ref="N3:P3"/>
    <mergeCell ref="N4:P4"/>
    <mergeCell ref="B3:D3"/>
    <mergeCell ref="H3:J3"/>
    <mergeCell ref="B4:D4"/>
    <mergeCell ref="H4:J4"/>
    <mergeCell ref="E3:G3"/>
    <mergeCell ref="E4:G4"/>
  </mergeCells>
  <printOptions horizontalCentered="1"/>
  <pageMargins left="0.25" right="0.25" top="0.75" bottom="0.75" header="0.3" footer="0.3"/>
  <pageSetup scale="10" orientation="landscape" horizontalDpi="4294967292" verticalDpi="4294967292"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CF860-86FA-4EFB-B24A-2E4C50E39722}">
  <sheetPr codeName="Sheet2">
    <tabColor rgb="FF009900"/>
    <pageSetUpPr fitToPage="1"/>
  </sheetPr>
  <dimension ref="A1:AA72"/>
  <sheetViews>
    <sheetView zoomScale="90" zoomScaleNormal="90" workbookViewId="0">
      <selection activeCell="A2" sqref="A2"/>
    </sheetView>
  </sheetViews>
  <sheetFormatPr defaultColWidth="8.7265625" defaultRowHeight="14.5"/>
  <cols>
    <col min="1" max="17" width="6.54296875" style="281" customWidth="1"/>
    <col min="18" max="18" width="6.54296875" style="282" customWidth="1"/>
    <col min="19" max="19" width="7.54296875" style="283" customWidth="1"/>
    <col min="20" max="20" width="7.54296875" style="280" customWidth="1"/>
    <col min="21" max="21" width="4.54296875" style="280" customWidth="1"/>
    <col min="22" max="27" width="6.54296875" style="280" customWidth="1"/>
    <col min="28" max="16384" width="8.7265625" style="280"/>
  </cols>
  <sheetData>
    <row r="1" spans="1:27" ht="18">
      <c r="A1" s="304" t="s">
        <v>196</v>
      </c>
      <c r="B1" s="305"/>
      <c r="C1" s="305"/>
      <c r="D1" s="305"/>
      <c r="E1" s="305"/>
      <c r="F1" s="305"/>
      <c r="G1" s="305"/>
      <c r="H1" s="305"/>
      <c r="I1" s="305"/>
      <c r="J1" s="305"/>
      <c r="K1" s="305"/>
      <c r="L1" s="305"/>
      <c r="M1" s="305"/>
      <c r="N1" s="305"/>
      <c r="O1" s="305"/>
      <c r="P1" s="305"/>
      <c r="Q1" s="305"/>
      <c r="R1" s="305"/>
      <c r="S1" s="305"/>
      <c r="T1" s="305"/>
    </row>
    <row r="2" spans="1:27" ht="15" thickBot="1"/>
    <row r="3" spans="1:27" ht="15.5">
      <c r="A3" s="647" t="s">
        <v>189</v>
      </c>
      <c r="B3" s="650" t="s">
        <v>191</v>
      </c>
      <c r="C3" s="649" t="s">
        <v>298</v>
      </c>
      <c r="D3" s="649"/>
      <c r="E3" s="649"/>
      <c r="F3" s="649"/>
      <c r="G3" s="649"/>
      <c r="H3" s="649"/>
      <c r="I3" s="649"/>
      <c r="J3" s="649"/>
      <c r="K3" s="649"/>
      <c r="L3" s="649"/>
      <c r="M3" s="649"/>
      <c r="N3" s="649"/>
      <c r="O3" s="649"/>
      <c r="P3" s="649"/>
      <c r="Q3" s="649"/>
      <c r="R3" s="649"/>
      <c r="S3" s="649"/>
      <c r="T3" s="642" t="s">
        <v>193</v>
      </c>
      <c r="V3" s="634" t="s">
        <v>130</v>
      </c>
      <c r="W3" s="635"/>
      <c r="X3" s="635"/>
      <c r="Y3" s="635"/>
      <c r="Z3" s="635"/>
      <c r="AA3" s="636"/>
    </row>
    <row r="4" spans="1:27" ht="15" thickBot="1">
      <c r="A4" s="648"/>
      <c r="B4" s="643"/>
      <c r="C4" s="550">
        <v>15</v>
      </c>
      <c r="D4" s="550">
        <v>20</v>
      </c>
      <c r="E4" s="550">
        <v>25</v>
      </c>
      <c r="F4" s="550">
        <v>30</v>
      </c>
      <c r="G4" s="550">
        <v>35</v>
      </c>
      <c r="H4" s="550">
        <v>40</v>
      </c>
      <c r="I4" s="550">
        <v>45</v>
      </c>
      <c r="J4" s="550">
        <v>50</v>
      </c>
      <c r="K4" s="550">
        <v>55</v>
      </c>
      <c r="L4" s="550">
        <v>60</v>
      </c>
      <c r="M4" s="550">
        <v>65</v>
      </c>
      <c r="N4" s="550">
        <v>70</v>
      </c>
      <c r="O4" s="550">
        <v>75</v>
      </c>
      <c r="P4" s="550">
        <v>80</v>
      </c>
      <c r="Q4" s="550">
        <v>85</v>
      </c>
      <c r="R4" s="550">
        <v>90</v>
      </c>
      <c r="S4" s="285" t="s">
        <v>190</v>
      </c>
      <c r="T4" s="643"/>
      <c r="V4" s="20" t="s">
        <v>11</v>
      </c>
      <c r="W4" s="637" t="s">
        <v>192</v>
      </c>
      <c r="X4" s="638"/>
      <c r="Y4" s="638"/>
      <c r="Z4" s="638"/>
      <c r="AA4" s="639"/>
    </row>
    <row r="5" spans="1:27" ht="13.5" customHeight="1" thickTop="1" thickBot="1">
      <c r="A5" s="286">
        <v>1.2</v>
      </c>
      <c r="B5" s="362">
        <v>0.79937000000000002</v>
      </c>
      <c r="C5" s="363">
        <v>3.4702000000000002</v>
      </c>
      <c r="D5" s="363">
        <v>3.9237000000000002</v>
      </c>
      <c r="E5" s="363">
        <v>4.2931000000000008</v>
      </c>
      <c r="F5" s="363">
        <v>4.5984999999999996</v>
      </c>
      <c r="G5" s="363">
        <v>4.8599000000000006</v>
      </c>
      <c r="H5" s="363">
        <v>5.0922999999999998</v>
      </c>
      <c r="I5" s="363">
        <v>5.3001000000000005</v>
      </c>
      <c r="J5" s="363">
        <v>5.4964999999999993</v>
      </c>
      <c r="K5" s="363">
        <v>5.6976999999999993</v>
      </c>
      <c r="L5" s="363">
        <v>5.9071999999999996</v>
      </c>
      <c r="M5" s="363">
        <v>6.1284999999999998</v>
      </c>
      <c r="N5" s="363">
        <v>6.3639999999999999</v>
      </c>
      <c r="O5" s="363">
        <v>6.6255999999999995</v>
      </c>
      <c r="P5" s="363">
        <v>6.9444999999999997</v>
      </c>
      <c r="Q5" s="363">
        <v>7.3902000000000001</v>
      </c>
      <c r="R5" s="363">
        <v>8.1133000000000006</v>
      </c>
      <c r="S5" s="364">
        <v>5.6378312499999987</v>
      </c>
      <c r="T5" s="547">
        <v>0</v>
      </c>
      <c r="V5" s="21" t="s">
        <v>2</v>
      </c>
      <c r="W5" s="221" t="s">
        <v>120</v>
      </c>
      <c r="X5" s="221" t="s">
        <v>121</v>
      </c>
      <c r="Y5" s="221" t="s">
        <v>122</v>
      </c>
      <c r="Z5" s="221" t="s">
        <v>123</v>
      </c>
      <c r="AA5" s="222" t="s">
        <v>124</v>
      </c>
    </row>
    <row r="6" spans="1:27" ht="13.5" customHeight="1" thickTop="1">
      <c r="A6" s="287">
        <v>1.4</v>
      </c>
      <c r="B6" s="365">
        <v>0.8160599999999999</v>
      </c>
      <c r="C6" s="363">
        <v>2.7147000000000006</v>
      </c>
      <c r="D6" s="363">
        <v>3.1320000000000006</v>
      </c>
      <c r="E6" s="363">
        <v>3.4727999999999994</v>
      </c>
      <c r="F6" s="363">
        <v>3.758700000000001</v>
      </c>
      <c r="G6" s="363">
        <v>4.0028999999999995</v>
      </c>
      <c r="H6" s="363">
        <v>4.2149999999999999</v>
      </c>
      <c r="I6" s="363">
        <v>4.4025000000000007</v>
      </c>
      <c r="J6" s="363">
        <v>4.5771000000000006</v>
      </c>
      <c r="K6" s="363">
        <v>4.7474000000000007</v>
      </c>
      <c r="L6" s="363">
        <v>4.9206000000000003</v>
      </c>
      <c r="M6" s="363">
        <v>5.099400000000001</v>
      </c>
      <c r="N6" s="363">
        <v>5.2871999999999995</v>
      </c>
      <c r="O6" s="363">
        <v>5.4957000000000003</v>
      </c>
      <c r="P6" s="363">
        <v>5.7500000000000009</v>
      </c>
      <c r="Q6" s="363">
        <v>6.1140000000000008</v>
      </c>
      <c r="R6" s="363">
        <v>6.7393000000000001</v>
      </c>
      <c r="S6" s="364">
        <v>4.6518312500000008</v>
      </c>
      <c r="T6" s="549">
        <v>0</v>
      </c>
      <c r="V6" s="53">
        <v>3.5</v>
      </c>
      <c r="W6" s="546">
        <v>1.36</v>
      </c>
      <c r="X6" s="546">
        <v>1.93</v>
      </c>
      <c r="Y6" s="546">
        <v>2.39</v>
      </c>
      <c r="Z6" s="546">
        <v>2.88</v>
      </c>
      <c r="AA6" s="31">
        <v>5.27</v>
      </c>
    </row>
    <row r="7" spans="1:27" ht="13.5" customHeight="1">
      <c r="A7" s="287">
        <v>1.6</v>
      </c>
      <c r="B7" s="365">
        <v>0.84093000000000007</v>
      </c>
      <c r="C7" s="363">
        <v>1.8645999999999994</v>
      </c>
      <c r="D7" s="363">
        <v>2.1889999999999992</v>
      </c>
      <c r="E7" s="363">
        <v>2.4599000000000002</v>
      </c>
      <c r="F7" s="363">
        <v>2.6884999999999994</v>
      </c>
      <c r="G7" s="363">
        <v>2.885699999999999</v>
      </c>
      <c r="H7" s="363">
        <v>3.0583999999999998</v>
      </c>
      <c r="I7" s="363">
        <v>3.2093000000000007</v>
      </c>
      <c r="J7" s="363">
        <v>3.3482000000000003</v>
      </c>
      <c r="K7" s="363">
        <v>3.4829000000000008</v>
      </c>
      <c r="L7" s="363">
        <v>3.6181000000000001</v>
      </c>
      <c r="M7" s="363">
        <v>3.7561</v>
      </c>
      <c r="N7" s="363">
        <v>3.8999999999999995</v>
      </c>
      <c r="O7" s="363">
        <v>4.0608000000000004</v>
      </c>
      <c r="P7" s="363">
        <v>4.2591999999999999</v>
      </c>
      <c r="Q7" s="363">
        <v>4.5490000000000004</v>
      </c>
      <c r="R7" s="363">
        <v>5.0608999999999993</v>
      </c>
      <c r="S7" s="364">
        <v>3.3994124999999995</v>
      </c>
      <c r="T7" s="549">
        <v>0</v>
      </c>
      <c r="V7" s="53">
        <v>4.8</v>
      </c>
      <c r="W7" s="546">
        <v>0.77</v>
      </c>
      <c r="X7" s="546">
        <v>1.17</v>
      </c>
      <c r="Y7" s="546">
        <v>1.51</v>
      </c>
      <c r="Z7" s="546">
        <v>1.86</v>
      </c>
      <c r="AA7" s="31">
        <v>3.62</v>
      </c>
    </row>
    <row r="8" spans="1:27" ht="13.5" customHeight="1">
      <c r="A8" s="287">
        <v>1.8</v>
      </c>
      <c r="B8" s="365">
        <v>0.86197000000000001</v>
      </c>
      <c r="C8" s="363">
        <v>1.4943</v>
      </c>
      <c r="D8" s="363">
        <v>1.7701000000000002</v>
      </c>
      <c r="E8" s="363">
        <v>2</v>
      </c>
      <c r="F8" s="363">
        <v>2.1950000000000003</v>
      </c>
      <c r="G8" s="363">
        <v>2.3632999999999997</v>
      </c>
      <c r="H8" s="363">
        <v>2.5116000000000005</v>
      </c>
      <c r="I8" s="363">
        <v>2.6429</v>
      </c>
      <c r="J8" s="363">
        <v>2.7640000000000002</v>
      </c>
      <c r="K8" s="363">
        <v>2.8816999999999995</v>
      </c>
      <c r="L8" s="363">
        <v>3.0005000000000006</v>
      </c>
      <c r="M8" s="363">
        <v>3.1214000000000004</v>
      </c>
      <c r="N8" s="363">
        <v>3.2457000000000003</v>
      </c>
      <c r="O8" s="363">
        <v>3.3815</v>
      </c>
      <c r="P8" s="363">
        <v>3.5469999999999997</v>
      </c>
      <c r="Q8" s="363">
        <v>3.7873000000000001</v>
      </c>
      <c r="R8" s="363">
        <v>4.2145999999999999</v>
      </c>
      <c r="S8" s="364">
        <v>2.8075562500000002</v>
      </c>
      <c r="T8" s="549">
        <v>0</v>
      </c>
      <c r="V8" s="53">
        <v>5.8</v>
      </c>
      <c r="W8" s="546">
        <v>0.46</v>
      </c>
      <c r="X8" s="546">
        <v>0.79</v>
      </c>
      <c r="Y8" s="546">
        <v>1.06</v>
      </c>
      <c r="Z8" s="546">
        <v>1.34</v>
      </c>
      <c r="AA8" s="31">
        <v>2.78</v>
      </c>
    </row>
    <row r="9" spans="1:27" ht="13.5" customHeight="1">
      <c r="A9" s="287">
        <v>2</v>
      </c>
      <c r="B9" s="365">
        <v>0.88572999999999991</v>
      </c>
      <c r="C9" s="363">
        <v>0.87070000000000025</v>
      </c>
      <c r="D9" s="363">
        <v>1.0231000000000003</v>
      </c>
      <c r="E9" s="363">
        <v>1.1532</v>
      </c>
      <c r="F9" s="363">
        <v>1.2668999999999997</v>
      </c>
      <c r="G9" s="363">
        <v>1.3681999999999999</v>
      </c>
      <c r="H9" s="363">
        <v>1.4601999999999995</v>
      </c>
      <c r="I9" s="363">
        <v>1.5439000000000007</v>
      </c>
      <c r="J9" s="363">
        <v>1.6234999999999999</v>
      </c>
      <c r="K9" s="363">
        <v>1.7033999999999994</v>
      </c>
      <c r="L9" s="363">
        <v>1.7869999999999999</v>
      </c>
      <c r="M9" s="363">
        <v>1.8745000000000003</v>
      </c>
      <c r="N9" s="363">
        <v>1.9649999999999999</v>
      </c>
      <c r="O9" s="363">
        <v>2.0623000000000005</v>
      </c>
      <c r="P9" s="363">
        <v>2.1770000000000005</v>
      </c>
      <c r="Q9" s="363">
        <v>2.3368000000000002</v>
      </c>
      <c r="R9" s="363">
        <v>2.6096000000000004</v>
      </c>
      <c r="S9" s="364">
        <v>1.6765812499999999</v>
      </c>
      <c r="T9" s="549">
        <v>0</v>
      </c>
      <c r="V9" s="53">
        <v>7.4</v>
      </c>
      <c r="W9" s="546">
        <v>0.44</v>
      </c>
      <c r="X9" s="546">
        <v>0.69</v>
      </c>
      <c r="Y9" s="546">
        <v>0.89</v>
      </c>
      <c r="Z9" s="546">
        <v>1.1100000000000001</v>
      </c>
      <c r="AA9" s="31">
        <v>2.25</v>
      </c>
    </row>
    <row r="10" spans="1:27" ht="13.5" customHeight="1">
      <c r="A10" s="287">
        <v>2.2000000000000002</v>
      </c>
      <c r="B10" s="365">
        <v>0.88182000000000005</v>
      </c>
      <c r="C10" s="363">
        <v>0.49020000000000064</v>
      </c>
      <c r="D10" s="363">
        <v>0.57230000000000025</v>
      </c>
      <c r="E10" s="363">
        <v>0.64390000000000036</v>
      </c>
      <c r="F10" s="363">
        <v>0.70760000000000023</v>
      </c>
      <c r="G10" s="363">
        <v>0.76569999999999983</v>
      </c>
      <c r="H10" s="363">
        <v>0.81949999999999967</v>
      </c>
      <c r="I10" s="363">
        <v>0.86979999999999968</v>
      </c>
      <c r="J10" s="363">
        <v>0.91880000000000006</v>
      </c>
      <c r="K10" s="363">
        <v>0.96889999999999965</v>
      </c>
      <c r="L10" s="363">
        <v>1.0223000000000004</v>
      </c>
      <c r="M10" s="363">
        <v>1.0792999999999999</v>
      </c>
      <c r="N10" s="363">
        <v>1.1395</v>
      </c>
      <c r="O10" s="363">
        <v>1.2050999999999998</v>
      </c>
      <c r="P10" s="363">
        <v>1.2831000000000001</v>
      </c>
      <c r="Q10" s="363">
        <v>1.391</v>
      </c>
      <c r="R10" s="363">
        <v>1.5731000000000002</v>
      </c>
      <c r="S10" s="364">
        <v>0.96563125000000005</v>
      </c>
      <c r="T10" s="549">
        <v>0</v>
      </c>
      <c r="V10" s="53">
        <v>9.6</v>
      </c>
      <c r="W10" s="546">
        <v>0.32</v>
      </c>
      <c r="X10" s="546">
        <v>0.57999999999999996</v>
      </c>
      <c r="Y10" s="546">
        <v>0.79</v>
      </c>
      <c r="Z10" s="546">
        <v>1.01</v>
      </c>
      <c r="AA10" s="31">
        <v>2.06</v>
      </c>
    </row>
    <row r="11" spans="1:27" ht="13.5" customHeight="1">
      <c r="A11" s="287">
        <v>2.5</v>
      </c>
      <c r="B11" s="365">
        <v>0.86683999999999994</v>
      </c>
      <c r="C11" s="363">
        <v>0.50780000000000047</v>
      </c>
      <c r="D11" s="363">
        <v>0.59529999999999994</v>
      </c>
      <c r="E11" s="363">
        <v>0.66789999999999949</v>
      </c>
      <c r="F11" s="363">
        <v>0.72990000000000066</v>
      </c>
      <c r="G11" s="363">
        <v>0.78409999999999958</v>
      </c>
      <c r="H11" s="363">
        <v>0.8327</v>
      </c>
      <c r="I11" s="363">
        <v>0.87670000000000048</v>
      </c>
      <c r="J11" s="363">
        <v>0.91849999999999987</v>
      </c>
      <c r="K11" s="363">
        <v>0.96059999999999945</v>
      </c>
      <c r="L11" s="363">
        <v>1.0049000000000001</v>
      </c>
      <c r="M11" s="363">
        <v>1.0518999999999998</v>
      </c>
      <c r="N11" s="363">
        <v>1.1013000000000002</v>
      </c>
      <c r="O11" s="363">
        <v>1.1562000000000001</v>
      </c>
      <c r="P11" s="363">
        <v>1.2233999999999998</v>
      </c>
      <c r="Q11" s="363">
        <v>1.3213999999999997</v>
      </c>
      <c r="R11" s="363">
        <v>1.4973999999999998</v>
      </c>
      <c r="S11" s="364">
        <v>0.9518749999999998</v>
      </c>
      <c r="T11" s="549">
        <v>0</v>
      </c>
      <c r="V11" s="53">
        <v>12.3</v>
      </c>
      <c r="W11" s="546">
        <v>0.27</v>
      </c>
      <c r="X11" s="546">
        <v>0.4</v>
      </c>
      <c r="Y11" s="546">
        <v>0.5</v>
      </c>
      <c r="Z11" s="546">
        <v>0.6</v>
      </c>
      <c r="AA11" s="31">
        <v>1.1599999999999999</v>
      </c>
    </row>
    <row r="12" spans="1:27" ht="13.5" customHeight="1">
      <c r="A12" s="287">
        <v>2.8</v>
      </c>
      <c r="B12" s="365">
        <v>0.83787000000000011</v>
      </c>
      <c r="C12" s="363">
        <v>0.3362999999999996</v>
      </c>
      <c r="D12" s="363">
        <v>0.39909999999999979</v>
      </c>
      <c r="E12" s="363">
        <v>0.45059999999999967</v>
      </c>
      <c r="F12" s="363">
        <v>0.49460000000000015</v>
      </c>
      <c r="G12" s="363">
        <v>0.53339999999999943</v>
      </c>
      <c r="H12" s="363">
        <v>0.56869999999999976</v>
      </c>
      <c r="I12" s="363">
        <v>0.60099999999999998</v>
      </c>
      <c r="J12" s="363">
        <v>0.63189999999999991</v>
      </c>
      <c r="K12" s="363">
        <v>0.66259999999999941</v>
      </c>
      <c r="L12" s="363">
        <v>0.69439999999999991</v>
      </c>
      <c r="M12" s="363">
        <v>0.7275999999999998</v>
      </c>
      <c r="N12" s="363">
        <v>0.76360000000000028</v>
      </c>
      <c r="O12" s="363">
        <v>0.80549999999999944</v>
      </c>
      <c r="P12" s="363">
        <v>0.86099999999999977</v>
      </c>
      <c r="Q12" s="363">
        <v>0.94729999999999936</v>
      </c>
      <c r="R12" s="363">
        <v>1.1066000000000003</v>
      </c>
      <c r="S12" s="364">
        <v>0.66151249999999973</v>
      </c>
      <c r="T12" s="549">
        <v>0</v>
      </c>
    </row>
    <row r="13" spans="1:27" ht="13.5" customHeight="1">
      <c r="A13" s="287">
        <v>3.1</v>
      </c>
      <c r="B13" s="365">
        <v>0.79442999999999997</v>
      </c>
      <c r="C13" s="363">
        <v>0.15840000000000032</v>
      </c>
      <c r="D13" s="363">
        <v>0.19289999999999985</v>
      </c>
      <c r="E13" s="363">
        <v>0.22090000000000032</v>
      </c>
      <c r="F13" s="363">
        <v>0.24450000000000038</v>
      </c>
      <c r="G13" s="363">
        <v>0.26540000000000052</v>
      </c>
      <c r="H13" s="363">
        <v>0.28439999999999976</v>
      </c>
      <c r="I13" s="363">
        <v>0.30189999999999984</v>
      </c>
      <c r="J13" s="363">
        <v>0.31890000000000018</v>
      </c>
      <c r="K13" s="363">
        <v>0.33650000000000002</v>
      </c>
      <c r="L13" s="363">
        <v>0.35540000000000038</v>
      </c>
      <c r="M13" s="363">
        <v>0.37579999999999991</v>
      </c>
      <c r="N13" s="363">
        <v>0.39780000000000015</v>
      </c>
      <c r="O13" s="363">
        <v>0.42260000000000009</v>
      </c>
      <c r="P13" s="363">
        <v>0.45340000000000025</v>
      </c>
      <c r="Q13" s="363">
        <v>0.49850000000000083</v>
      </c>
      <c r="R13" s="363">
        <v>0.57969999999999988</v>
      </c>
      <c r="S13" s="364">
        <v>0.33793750000000017</v>
      </c>
      <c r="T13" s="549">
        <v>0</v>
      </c>
    </row>
    <row r="14" spans="1:27" ht="13.5" customHeight="1" thickBot="1">
      <c r="A14" s="288">
        <v>3.5</v>
      </c>
      <c r="B14" s="366">
        <v>0.65400999999999998</v>
      </c>
      <c r="C14" s="367">
        <v>0.12460000000000004</v>
      </c>
      <c r="D14" s="367">
        <v>0.14930000000000021</v>
      </c>
      <c r="E14" s="367">
        <v>0.16769999999999996</v>
      </c>
      <c r="F14" s="367">
        <v>0.18159999999999954</v>
      </c>
      <c r="G14" s="367">
        <v>0.19260000000000055</v>
      </c>
      <c r="H14" s="367">
        <v>0.20120000000000005</v>
      </c>
      <c r="I14" s="367">
        <v>0.20809999999999995</v>
      </c>
      <c r="J14" s="367">
        <v>0.21400000000000041</v>
      </c>
      <c r="K14" s="367">
        <v>0.21919999999999984</v>
      </c>
      <c r="L14" s="367">
        <v>0.2240000000000002</v>
      </c>
      <c r="M14" s="367">
        <v>0.22880000000000056</v>
      </c>
      <c r="N14" s="367">
        <v>0.23399999999999999</v>
      </c>
      <c r="O14" s="367">
        <v>0.24049999999999994</v>
      </c>
      <c r="P14" s="367">
        <v>0.25010000000000066</v>
      </c>
      <c r="Q14" s="367">
        <v>0.26760000000000073</v>
      </c>
      <c r="R14" s="367">
        <v>0.30810000000000048</v>
      </c>
      <c r="S14" s="368">
        <v>0.21321250000000019</v>
      </c>
      <c r="T14" s="548">
        <v>0</v>
      </c>
    </row>
    <row r="15" spans="1:27" ht="13.5" customHeight="1">
      <c r="A15" s="289">
        <v>3.4</v>
      </c>
      <c r="B15" s="543">
        <v>0.89759999999999995</v>
      </c>
      <c r="C15" s="547">
        <v>1.4148000000000001</v>
      </c>
      <c r="D15" s="547">
        <v>1.6295999999999999</v>
      </c>
      <c r="E15" s="547">
        <v>1.8192999999999999</v>
      </c>
      <c r="F15" s="547">
        <v>1.9934000000000001</v>
      </c>
      <c r="G15" s="547">
        <v>2.1573000000000002</v>
      </c>
      <c r="H15" s="547">
        <v>2.3151000000000002</v>
      </c>
      <c r="I15" s="547">
        <v>2.4689999999999999</v>
      </c>
      <c r="J15" s="547">
        <v>2.6246999999999998</v>
      </c>
      <c r="K15" s="547">
        <v>2.7883</v>
      </c>
      <c r="L15" s="547">
        <v>2.9708000000000001</v>
      </c>
      <c r="M15" s="547">
        <v>3.1808000000000001</v>
      </c>
      <c r="N15" s="547">
        <v>3.4217</v>
      </c>
      <c r="O15" s="547">
        <v>3.7044999999999999</v>
      </c>
      <c r="P15" s="547">
        <v>4.0658000000000003</v>
      </c>
      <c r="Q15" s="547">
        <v>4.5877999999999997</v>
      </c>
      <c r="R15" s="547">
        <v>5.4160000000000004</v>
      </c>
      <c r="S15" s="369">
        <f>AVERAGE(C15:R15)</f>
        <v>2.9099312500000005</v>
      </c>
      <c r="T15" s="547">
        <v>0</v>
      </c>
    </row>
    <row r="16" spans="1:27" ht="13.5" customHeight="1">
      <c r="A16" s="290">
        <v>4.0999999999999996</v>
      </c>
      <c r="B16" s="544">
        <v>0.91039999999999999</v>
      </c>
      <c r="C16" s="547">
        <v>1.0657000000000001</v>
      </c>
      <c r="D16" s="547">
        <v>1.2445999999999999</v>
      </c>
      <c r="E16" s="547">
        <v>1.4029</v>
      </c>
      <c r="F16" s="547">
        <v>1.5481</v>
      </c>
      <c r="G16" s="547">
        <v>1.6852</v>
      </c>
      <c r="H16" s="547">
        <v>1.8172999999999999</v>
      </c>
      <c r="I16" s="547">
        <v>1.946</v>
      </c>
      <c r="J16" s="547">
        <v>2.0762999999999998</v>
      </c>
      <c r="K16" s="547">
        <v>2.2134999999999998</v>
      </c>
      <c r="L16" s="547">
        <v>2.3666</v>
      </c>
      <c r="M16" s="547">
        <v>2.5415000000000001</v>
      </c>
      <c r="N16" s="547">
        <v>2.7423999999999999</v>
      </c>
      <c r="O16" s="547">
        <v>2.9805999999999999</v>
      </c>
      <c r="P16" s="547">
        <v>3.2886000000000002</v>
      </c>
      <c r="Q16" s="547">
        <v>3.7362000000000002</v>
      </c>
      <c r="R16" s="547">
        <v>4.4408000000000003</v>
      </c>
      <c r="S16" s="369">
        <f t="shared" ref="S16:S23" si="0">AVERAGE(C16:R16)</f>
        <v>2.31851875</v>
      </c>
      <c r="T16" s="549">
        <v>0</v>
      </c>
    </row>
    <row r="17" spans="1:20" ht="13.5" customHeight="1">
      <c r="A17" s="290">
        <v>4.7</v>
      </c>
      <c r="B17" s="544">
        <v>0.91390000000000005</v>
      </c>
      <c r="C17" s="547">
        <v>0.80700000000000005</v>
      </c>
      <c r="D17" s="547">
        <v>0.95979999999999999</v>
      </c>
      <c r="E17" s="547">
        <v>1.0954999999999999</v>
      </c>
      <c r="F17" s="547">
        <v>1.2201</v>
      </c>
      <c r="G17" s="547">
        <v>1.3379000000000001</v>
      </c>
      <c r="H17" s="547">
        <v>1.4516</v>
      </c>
      <c r="I17" s="547">
        <v>1.5622</v>
      </c>
      <c r="J17" s="547">
        <v>1.6741999999999999</v>
      </c>
      <c r="K17" s="547">
        <v>1.7922</v>
      </c>
      <c r="L17" s="547">
        <v>1.9234</v>
      </c>
      <c r="M17" s="547">
        <v>2.0727000000000002</v>
      </c>
      <c r="N17" s="547">
        <v>2.2440000000000002</v>
      </c>
      <c r="O17" s="547">
        <v>2.4489999999999998</v>
      </c>
      <c r="P17" s="547">
        <v>2.7172000000000001</v>
      </c>
      <c r="Q17" s="547">
        <v>3.1093999999999999</v>
      </c>
      <c r="R17" s="547">
        <v>3.7246999999999999</v>
      </c>
      <c r="S17" s="369">
        <f t="shared" si="0"/>
        <v>1.8838062499999997</v>
      </c>
      <c r="T17" s="549">
        <v>0</v>
      </c>
    </row>
    <row r="18" spans="1:20" ht="13.5" customHeight="1">
      <c r="A18" s="290">
        <v>5.4</v>
      </c>
      <c r="B18" s="544">
        <v>0.92130000000000001</v>
      </c>
      <c r="C18" s="547">
        <v>0.54149999999999998</v>
      </c>
      <c r="D18" s="547">
        <v>0.66969999999999996</v>
      </c>
      <c r="E18" s="547">
        <v>0.78439999999999999</v>
      </c>
      <c r="F18" s="547">
        <v>0.89200000000000002</v>
      </c>
      <c r="G18" s="547">
        <v>0.99439999999999995</v>
      </c>
      <c r="H18" s="547">
        <v>1.0934999999999999</v>
      </c>
      <c r="I18" s="547">
        <v>1.1894</v>
      </c>
      <c r="J18" s="547">
        <v>1.2859</v>
      </c>
      <c r="K18" s="547">
        <v>1.3865000000000001</v>
      </c>
      <c r="L18" s="547">
        <v>1.4973000000000001</v>
      </c>
      <c r="M18" s="547">
        <v>1.6222000000000001</v>
      </c>
      <c r="N18" s="547">
        <v>1.7652000000000001</v>
      </c>
      <c r="O18" s="547">
        <v>1.9379999999999999</v>
      </c>
      <c r="P18" s="547">
        <v>2.1674000000000002</v>
      </c>
      <c r="Q18" s="547">
        <v>2.5078999999999998</v>
      </c>
      <c r="R18" s="547">
        <v>3.0472999999999999</v>
      </c>
      <c r="S18" s="369">
        <f t="shared" si="0"/>
        <v>1.4614124999999998</v>
      </c>
      <c r="T18" s="549">
        <v>0</v>
      </c>
    </row>
    <row r="19" spans="1:20" ht="13.5" customHeight="1">
      <c r="A19" s="290">
        <v>6.2</v>
      </c>
      <c r="B19" s="544">
        <v>0.93069999999999997</v>
      </c>
      <c r="C19" s="547">
        <v>0.45040000000000002</v>
      </c>
      <c r="D19" s="547">
        <v>0.5635</v>
      </c>
      <c r="E19" s="547">
        <v>0.6643</v>
      </c>
      <c r="F19" s="547">
        <v>0.75519999999999998</v>
      </c>
      <c r="G19" s="547">
        <v>0.84009999999999996</v>
      </c>
      <c r="H19" s="547">
        <v>0.92259999999999998</v>
      </c>
      <c r="I19" s="547">
        <v>1.0029999999999999</v>
      </c>
      <c r="J19" s="547">
        <v>1.0845</v>
      </c>
      <c r="K19" s="547">
        <v>1.1701999999999999</v>
      </c>
      <c r="L19" s="547">
        <v>1.2655000000000001</v>
      </c>
      <c r="M19" s="547">
        <v>1.3742000000000001</v>
      </c>
      <c r="N19" s="547">
        <v>1.4988999999999999</v>
      </c>
      <c r="O19" s="547">
        <v>1.6504000000000001</v>
      </c>
      <c r="P19" s="547">
        <v>1.8516999999999999</v>
      </c>
      <c r="Q19" s="547">
        <v>2.1478000000000002</v>
      </c>
      <c r="R19" s="547">
        <v>2.6112000000000002</v>
      </c>
      <c r="S19" s="369">
        <f t="shared" si="0"/>
        <v>1.2408437499999998</v>
      </c>
      <c r="T19" s="549">
        <v>0</v>
      </c>
    </row>
    <row r="20" spans="1:20" ht="13.5" customHeight="1">
      <c r="A20" s="290">
        <v>7.2</v>
      </c>
      <c r="B20" s="544">
        <v>0.93640000000000001</v>
      </c>
      <c r="C20" s="547">
        <v>0.44600000000000001</v>
      </c>
      <c r="D20" s="547">
        <v>0.54069999999999996</v>
      </c>
      <c r="E20" s="547">
        <v>0.62350000000000005</v>
      </c>
      <c r="F20" s="547">
        <v>0.69850000000000001</v>
      </c>
      <c r="G20" s="547">
        <v>0.76859999999999995</v>
      </c>
      <c r="H20" s="547">
        <v>0.83620000000000005</v>
      </c>
      <c r="I20" s="547">
        <v>0.90249999999999997</v>
      </c>
      <c r="J20" s="547">
        <v>0.97040000000000004</v>
      </c>
      <c r="K20" s="547">
        <v>1.0431999999999999</v>
      </c>
      <c r="L20" s="547">
        <v>1.1261000000000001</v>
      </c>
      <c r="M20" s="547">
        <v>1.2225999999999999</v>
      </c>
      <c r="N20" s="547">
        <v>1.3335999999999999</v>
      </c>
      <c r="O20" s="547">
        <v>1.4691000000000001</v>
      </c>
      <c r="P20" s="547">
        <v>1.6478999999999999</v>
      </c>
      <c r="Q20" s="547">
        <v>1.9045000000000001</v>
      </c>
      <c r="R20" s="547">
        <v>2.2917999999999998</v>
      </c>
      <c r="S20" s="369">
        <f t="shared" si="0"/>
        <v>1.1140750000000001</v>
      </c>
      <c r="T20" s="549">
        <v>0</v>
      </c>
    </row>
    <row r="21" spans="1:20" ht="13.5" customHeight="1">
      <c r="A21" s="290">
        <v>8.4</v>
      </c>
      <c r="B21" s="544">
        <v>0.94379999999999997</v>
      </c>
      <c r="C21" s="547">
        <v>0.38229999999999997</v>
      </c>
      <c r="D21" s="547">
        <v>0.47849999999999998</v>
      </c>
      <c r="E21" s="547">
        <v>0.56359999999999999</v>
      </c>
      <c r="F21" s="547">
        <v>0.64119999999999999</v>
      </c>
      <c r="G21" s="547">
        <v>0.7137</v>
      </c>
      <c r="H21" s="547">
        <v>0.78269999999999995</v>
      </c>
      <c r="I21" s="547">
        <v>0.8498</v>
      </c>
      <c r="J21" s="547">
        <v>0.91720000000000002</v>
      </c>
      <c r="K21" s="547">
        <v>0.98770000000000002</v>
      </c>
      <c r="L21" s="547">
        <v>1.0660000000000001</v>
      </c>
      <c r="M21" s="547">
        <v>1.1554</v>
      </c>
      <c r="N21" s="547">
        <v>1.2566999999999999</v>
      </c>
      <c r="O21" s="547">
        <v>1.3804000000000001</v>
      </c>
      <c r="P21" s="547">
        <v>1.5465</v>
      </c>
      <c r="Q21" s="547">
        <v>1.7907</v>
      </c>
      <c r="R21" s="547">
        <v>2.1690999999999998</v>
      </c>
      <c r="S21" s="369">
        <f t="shared" si="0"/>
        <v>1.04259375</v>
      </c>
      <c r="T21" s="549">
        <v>0</v>
      </c>
    </row>
    <row r="22" spans="1:20" ht="13.5" customHeight="1">
      <c r="A22" s="290">
        <v>9.6</v>
      </c>
      <c r="B22" s="544">
        <v>0.95169999999999999</v>
      </c>
      <c r="C22" s="547">
        <v>0.32319999999999999</v>
      </c>
      <c r="D22" s="547">
        <v>0.41760000000000003</v>
      </c>
      <c r="E22" s="547">
        <v>0.50229999999999997</v>
      </c>
      <c r="F22" s="547">
        <v>0.58120000000000005</v>
      </c>
      <c r="G22" s="547">
        <v>0.65559999999999996</v>
      </c>
      <c r="H22" s="547">
        <v>0.72629999999999995</v>
      </c>
      <c r="I22" s="547">
        <v>0.79479999999999995</v>
      </c>
      <c r="J22" s="547">
        <v>0.86240000000000006</v>
      </c>
      <c r="K22" s="547">
        <v>0.93149999999999999</v>
      </c>
      <c r="L22" s="547">
        <v>1.0058</v>
      </c>
      <c r="M22" s="547">
        <v>1.0883</v>
      </c>
      <c r="N22" s="547">
        <v>1.1801999999999999</v>
      </c>
      <c r="O22" s="547">
        <v>1.2923</v>
      </c>
      <c r="P22" s="547">
        <v>1.4464999999999999</v>
      </c>
      <c r="Q22" s="547">
        <v>1.6813</v>
      </c>
      <c r="R22" s="547">
        <v>2.0609999999999999</v>
      </c>
      <c r="S22" s="369">
        <f t="shared" si="0"/>
        <v>0.97189375</v>
      </c>
      <c r="T22" s="549">
        <v>0</v>
      </c>
    </row>
    <row r="23" spans="1:20" ht="13.5" customHeight="1">
      <c r="A23" s="290">
        <v>11</v>
      </c>
      <c r="B23" s="544">
        <v>0.94989999999999997</v>
      </c>
      <c r="C23" s="547">
        <v>0.28710000000000002</v>
      </c>
      <c r="D23" s="547">
        <v>0.36159999999999998</v>
      </c>
      <c r="E23" s="547">
        <v>0.43009999999999998</v>
      </c>
      <c r="F23" s="547">
        <v>0.49280000000000002</v>
      </c>
      <c r="G23" s="547">
        <v>0.5514</v>
      </c>
      <c r="H23" s="547">
        <v>0.60699999999999998</v>
      </c>
      <c r="I23" s="547">
        <v>0.66069999999999995</v>
      </c>
      <c r="J23" s="547">
        <v>0.71440000000000003</v>
      </c>
      <c r="K23" s="547">
        <v>0.76949999999999996</v>
      </c>
      <c r="L23" s="547">
        <v>0.82930000000000004</v>
      </c>
      <c r="M23" s="547">
        <v>0.89639999999999997</v>
      </c>
      <c r="N23" s="547">
        <v>0.97119999999999995</v>
      </c>
      <c r="O23" s="547">
        <v>1.0629999999999999</v>
      </c>
      <c r="P23" s="547">
        <v>1.1887000000000001</v>
      </c>
      <c r="Q23" s="547">
        <v>1.3744000000000001</v>
      </c>
      <c r="R23" s="547">
        <v>1.6685000000000001</v>
      </c>
      <c r="S23" s="369">
        <f t="shared" si="0"/>
        <v>0.80413124999999996</v>
      </c>
      <c r="T23" s="549">
        <v>0</v>
      </c>
    </row>
    <row r="24" spans="1:20" ht="13.5" customHeight="1" thickBot="1">
      <c r="A24" s="291">
        <v>12.3</v>
      </c>
      <c r="B24" s="545">
        <v>0.9486</v>
      </c>
      <c r="C24" s="548">
        <v>0.27229999999999999</v>
      </c>
      <c r="D24" s="548">
        <v>0.32140000000000002</v>
      </c>
      <c r="E24" s="548">
        <v>0.3624</v>
      </c>
      <c r="F24" s="548">
        <v>0.39879999999999999</v>
      </c>
      <c r="G24" s="548">
        <v>0.43230000000000002</v>
      </c>
      <c r="H24" s="548">
        <v>0.46400000000000002</v>
      </c>
      <c r="I24" s="548">
        <v>0.49509999999999998</v>
      </c>
      <c r="J24" s="548">
        <v>0.52790000000000004</v>
      </c>
      <c r="K24" s="548">
        <v>0.56340000000000001</v>
      </c>
      <c r="L24" s="548">
        <v>0.60440000000000005</v>
      </c>
      <c r="M24" s="548">
        <v>0.65310000000000001</v>
      </c>
      <c r="N24" s="548">
        <v>0.7087</v>
      </c>
      <c r="O24" s="548">
        <v>0.77759999999999996</v>
      </c>
      <c r="P24" s="548">
        <v>0.86860000000000004</v>
      </c>
      <c r="Q24" s="548">
        <v>0.98760000000000003</v>
      </c>
      <c r="R24" s="548">
        <v>1.1553</v>
      </c>
      <c r="S24" s="370">
        <f>AVERAGE(C24:R24)</f>
        <v>0.59955625000000001</v>
      </c>
      <c r="T24" s="548">
        <v>0</v>
      </c>
    </row>
    <row r="25" spans="1:20" ht="13.5" customHeight="1">
      <c r="A25" s="292">
        <v>12.3</v>
      </c>
      <c r="B25" s="362">
        <v>0.93409999999999993</v>
      </c>
      <c r="C25" s="363">
        <v>0.53880000000000017</v>
      </c>
      <c r="D25" s="363">
        <v>0.65449999999999964</v>
      </c>
      <c r="E25" s="363">
        <v>0.74520000000000053</v>
      </c>
      <c r="F25" s="363">
        <v>0.82150000000000034</v>
      </c>
      <c r="G25" s="363">
        <v>0.88809999999999967</v>
      </c>
      <c r="H25" s="363">
        <v>0.94779999999999998</v>
      </c>
      <c r="I25" s="363">
        <v>1.0015000000000001</v>
      </c>
      <c r="J25" s="363">
        <v>1.0520000000000005</v>
      </c>
      <c r="K25" s="363">
        <v>1.1020000000000003</v>
      </c>
      <c r="L25" s="363">
        <v>1.1539999999999999</v>
      </c>
      <c r="M25" s="363">
        <v>1.2127999999999997</v>
      </c>
      <c r="N25" s="363">
        <v>1.2850999999999999</v>
      </c>
      <c r="O25" s="363">
        <v>1.3936000000000002</v>
      </c>
      <c r="P25" s="363">
        <v>1.5564999999999998</v>
      </c>
      <c r="Q25" s="363">
        <v>1.8013000000000003</v>
      </c>
      <c r="R25" s="363">
        <v>2.1723999999999997</v>
      </c>
      <c r="S25" s="364">
        <v>1.1454437500000001</v>
      </c>
      <c r="T25" s="547">
        <v>0</v>
      </c>
    </row>
    <row r="26" spans="1:20" ht="13.5" customHeight="1">
      <c r="A26" s="293">
        <v>13.1</v>
      </c>
      <c r="B26" s="365">
        <v>0.94043999999999994</v>
      </c>
      <c r="C26" s="363">
        <v>0.48039999999999949</v>
      </c>
      <c r="D26" s="363">
        <v>0.58590000000000053</v>
      </c>
      <c r="E26" s="363">
        <v>0.66880000000000006</v>
      </c>
      <c r="F26" s="363">
        <v>0.73890000000000011</v>
      </c>
      <c r="G26" s="363">
        <v>0.80040000000000067</v>
      </c>
      <c r="H26" s="363">
        <v>0.85600000000000076</v>
      </c>
      <c r="I26" s="363">
        <v>0.90620000000000012</v>
      </c>
      <c r="J26" s="363">
        <v>0.95359999999999978</v>
      </c>
      <c r="K26" s="363">
        <v>1.0009000000000006</v>
      </c>
      <c r="L26" s="363">
        <v>1.0503</v>
      </c>
      <c r="M26" s="363">
        <v>1.1066999999999991</v>
      </c>
      <c r="N26" s="363">
        <v>1.1768999999999998</v>
      </c>
      <c r="O26" s="363">
        <v>1.2833999999999994</v>
      </c>
      <c r="P26" s="363">
        <v>1.4417</v>
      </c>
      <c r="Q26" s="363">
        <v>1.6772999999999998</v>
      </c>
      <c r="R26" s="363">
        <v>2.0289999999999999</v>
      </c>
      <c r="S26" s="364">
        <v>1.0472750000000002</v>
      </c>
      <c r="T26" s="549">
        <v>0</v>
      </c>
    </row>
    <row r="27" spans="1:20" ht="13.5" customHeight="1">
      <c r="A27" s="293">
        <v>14</v>
      </c>
      <c r="B27" s="365">
        <v>0.94567999999999997</v>
      </c>
      <c r="C27" s="363">
        <v>0.44660000000000011</v>
      </c>
      <c r="D27" s="363">
        <v>0.54840000000000089</v>
      </c>
      <c r="E27" s="363">
        <v>0.6283000000000003</v>
      </c>
      <c r="F27" s="363">
        <v>0.69589999999999996</v>
      </c>
      <c r="G27" s="363">
        <v>0.75539999999999985</v>
      </c>
      <c r="H27" s="363">
        <v>0.80930000000000035</v>
      </c>
      <c r="I27" s="363">
        <v>0.85760000000000058</v>
      </c>
      <c r="J27" s="363">
        <v>0.90350000000000019</v>
      </c>
      <c r="K27" s="363">
        <v>0.94919999999999938</v>
      </c>
      <c r="L27" s="363">
        <v>0.99710000000000054</v>
      </c>
      <c r="M27" s="363">
        <v>1.0518000000000001</v>
      </c>
      <c r="N27" s="363">
        <v>1.1202000000000005</v>
      </c>
      <c r="O27" s="363">
        <v>1.2243000000000004</v>
      </c>
      <c r="P27" s="363">
        <v>1.3763999999999994</v>
      </c>
      <c r="Q27" s="363">
        <v>1.6007000000000007</v>
      </c>
      <c r="R27" s="363">
        <v>1.9337999999999997</v>
      </c>
      <c r="S27" s="364">
        <v>0.99365625000000024</v>
      </c>
      <c r="T27" s="549">
        <v>0</v>
      </c>
    </row>
    <row r="28" spans="1:20" ht="13.5" customHeight="1">
      <c r="A28" s="293">
        <v>15</v>
      </c>
      <c r="B28" s="365">
        <v>0.94977</v>
      </c>
      <c r="C28" s="363">
        <v>0.41389999999999993</v>
      </c>
      <c r="D28" s="363">
        <v>0.51789999999999914</v>
      </c>
      <c r="E28" s="363">
        <v>0.59820000000000029</v>
      </c>
      <c r="F28" s="363">
        <v>0.66559999999999953</v>
      </c>
      <c r="G28" s="363">
        <v>0.72450000000000081</v>
      </c>
      <c r="H28" s="363">
        <v>0.77740000000000009</v>
      </c>
      <c r="I28" s="363">
        <v>0.82460000000000022</v>
      </c>
      <c r="J28" s="363">
        <v>0.86929999999999996</v>
      </c>
      <c r="K28" s="363">
        <v>0.91360000000000063</v>
      </c>
      <c r="L28" s="363">
        <v>0.95980000000000043</v>
      </c>
      <c r="M28" s="363">
        <v>1.0123999999999995</v>
      </c>
      <c r="N28" s="363">
        <v>1.0777000000000001</v>
      </c>
      <c r="O28" s="363">
        <v>1.1768999999999998</v>
      </c>
      <c r="P28" s="363">
        <v>1.3186999999999998</v>
      </c>
      <c r="Q28" s="363">
        <v>1.5270000000000001</v>
      </c>
      <c r="R28" s="363">
        <v>1.8395000000000001</v>
      </c>
      <c r="S28" s="364">
        <v>0.95106250000000014</v>
      </c>
      <c r="T28" s="549">
        <v>0</v>
      </c>
    </row>
    <row r="29" spans="1:20" ht="13.5" customHeight="1">
      <c r="A29" s="293">
        <v>16</v>
      </c>
      <c r="B29" s="365">
        <v>0.95369000000000004</v>
      </c>
      <c r="C29" s="363">
        <v>0.36989999999999945</v>
      </c>
      <c r="D29" s="363">
        <v>0.47420000000000151</v>
      </c>
      <c r="E29" s="363">
        <v>0.55330000000000013</v>
      </c>
      <c r="F29" s="363">
        <v>0.61899999999999977</v>
      </c>
      <c r="G29" s="363">
        <v>0.67609999999999992</v>
      </c>
      <c r="H29" s="363">
        <v>0.72710000000000008</v>
      </c>
      <c r="I29" s="363">
        <v>0.77230000000000043</v>
      </c>
      <c r="J29" s="363">
        <v>0.81489999999999974</v>
      </c>
      <c r="K29" s="363">
        <v>0.85700000000000021</v>
      </c>
      <c r="L29" s="363">
        <v>0.90090000000000003</v>
      </c>
      <c r="M29" s="363">
        <v>0.95089999999999986</v>
      </c>
      <c r="N29" s="363">
        <v>1.0130999999999997</v>
      </c>
      <c r="O29" s="363">
        <v>1.1074999999999999</v>
      </c>
      <c r="P29" s="363">
        <v>1.2401999999999997</v>
      </c>
      <c r="Q29" s="363">
        <v>1.4343000000000004</v>
      </c>
      <c r="R29" s="363">
        <v>1.7289000000000003</v>
      </c>
      <c r="S29" s="364">
        <v>0.88997499999999996</v>
      </c>
      <c r="T29" s="549">
        <v>0</v>
      </c>
    </row>
    <row r="30" spans="1:20" ht="13.5" customHeight="1">
      <c r="A30" s="293">
        <v>17</v>
      </c>
      <c r="B30" s="365">
        <v>0.95721000000000001</v>
      </c>
      <c r="C30" s="363">
        <v>0.34830000000000005</v>
      </c>
      <c r="D30" s="363">
        <v>0.45669999999999966</v>
      </c>
      <c r="E30" s="363">
        <v>0.53710000000000058</v>
      </c>
      <c r="F30" s="363">
        <v>0.6034000000000006</v>
      </c>
      <c r="G30" s="363">
        <v>0.66049999999999986</v>
      </c>
      <c r="H30" s="363">
        <v>0.7112999999999996</v>
      </c>
      <c r="I30" s="363">
        <v>0.75599999999999934</v>
      </c>
      <c r="J30" s="363">
        <v>0.79800000000000004</v>
      </c>
      <c r="K30" s="363">
        <v>0.8395999999999999</v>
      </c>
      <c r="L30" s="363">
        <v>0.88310000000000066</v>
      </c>
      <c r="M30" s="363">
        <v>0.9328000000000003</v>
      </c>
      <c r="N30" s="363">
        <v>0.99589999999999979</v>
      </c>
      <c r="O30" s="363">
        <v>1.0926999999999998</v>
      </c>
      <c r="P30" s="363">
        <v>1.2258999999999993</v>
      </c>
      <c r="Q30" s="363">
        <v>1.4192</v>
      </c>
      <c r="R30" s="363">
        <v>1.7121000000000004</v>
      </c>
      <c r="S30" s="364">
        <v>0.87328749999999999</v>
      </c>
      <c r="T30" s="549">
        <v>0</v>
      </c>
    </row>
    <row r="31" spans="1:20" ht="13.5" customHeight="1">
      <c r="A31" s="293">
        <v>18</v>
      </c>
      <c r="B31" s="365">
        <v>0.95955000000000001</v>
      </c>
      <c r="C31" s="363">
        <v>0.3423000000000016</v>
      </c>
      <c r="D31" s="363">
        <v>0.45669999999999966</v>
      </c>
      <c r="E31" s="363">
        <v>0.54089999999999883</v>
      </c>
      <c r="F31" s="363">
        <v>0.60899999999999999</v>
      </c>
      <c r="G31" s="363">
        <v>0.66709999999999958</v>
      </c>
      <c r="H31" s="363">
        <v>0.71899999999999942</v>
      </c>
      <c r="I31" s="363">
        <v>0.76470000000000038</v>
      </c>
      <c r="J31" s="363">
        <v>0.80760000000000076</v>
      </c>
      <c r="K31" s="363">
        <v>0.85029999999999983</v>
      </c>
      <c r="L31" s="363">
        <v>0.89550000000000018</v>
      </c>
      <c r="M31" s="363">
        <v>0.94790000000000063</v>
      </c>
      <c r="N31" s="363">
        <v>1.0156000000000001</v>
      </c>
      <c r="O31" s="363">
        <v>1.1204000000000001</v>
      </c>
      <c r="P31" s="363">
        <v>1.2604999999999995</v>
      </c>
      <c r="Q31" s="363">
        <v>1.4610000000000003</v>
      </c>
      <c r="R31" s="363">
        <v>1.7641</v>
      </c>
      <c r="S31" s="364">
        <v>0.88891250000000022</v>
      </c>
      <c r="T31" s="549">
        <v>0</v>
      </c>
    </row>
    <row r="32" spans="1:20" ht="13.5" customHeight="1">
      <c r="A32" s="293">
        <v>18.899999999999999</v>
      </c>
      <c r="B32" s="365">
        <v>0.96108000000000005</v>
      </c>
      <c r="C32" s="363">
        <v>0.33610000000000184</v>
      </c>
      <c r="D32" s="363">
        <v>0.46180000000000021</v>
      </c>
      <c r="E32" s="363">
        <v>0.55100000000000016</v>
      </c>
      <c r="F32" s="363">
        <v>0.62199999999999989</v>
      </c>
      <c r="G32" s="363">
        <v>0.68270000000000053</v>
      </c>
      <c r="H32" s="363">
        <v>0.73730000000000118</v>
      </c>
      <c r="I32" s="363">
        <v>0.78470000000000084</v>
      </c>
      <c r="J32" s="363">
        <v>0.82950000000000124</v>
      </c>
      <c r="K32" s="363">
        <v>0.87450000000000117</v>
      </c>
      <c r="L32" s="363">
        <v>0.92249999999999943</v>
      </c>
      <c r="M32" s="363">
        <v>0.9786999999999999</v>
      </c>
      <c r="N32" s="363">
        <v>1.0519000000000007</v>
      </c>
      <c r="O32" s="363">
        <v>1.164299999999999</v>
      </c>
      <c r="P32" s="363">
        <v>1.3096000000000005</v>
      </c>
      <c r="Q32" s="363">
        <v>1.5136000000000003</v>
      </c>
      <c r="R32" s="363">
        <v>1.8201999999999998</v>
      </c>
      <c r="S32" s="364">
        <v>0.91502500000000042</v>
      </c>
      <c r="T32" s="549">
        <v>0</v>
      </c>
    </row>
    <row r="33" spans="1:24" ht="13.5" customHeight="1">
      <c r="A33" s="293">
        <v>19.7</v>
      </c>
      <c r="B33" s="365">
        <v>0.96025000000000005</v>
      </c>
      <c r="C33" s="363">
        <v>0.2911999999999999</v>
      </c>
      <c r="D33" s="363">
        <v>0.4311000000000007</v>
      </c>
      <c r="E33" s="363">
        <v>0.52770000000000117</v>
      </c>
      <c r="F33" s="363">
        <v>0.60409999999999897</v>
      </c>
      <c r="G33" s="363">
        <v>0.66899999999999871</v>
      </c>
      <c r="H33" s="363">
        <v>0.72630000000000017</v>
      </c>
      <c r="I33" s="363">
        <v>0.77609999999999957</v>
      </c>
      <c r="J33" s="363">
        <v>0.82349999999999923</v>
      </c>
      <c r="K33" s="363">
        <v>0.87199999999999989</v>
      </c>
      <c r="L33" s="363">
        <v>0.92389999999999972</v>
      </c>
      <c r="M33" s="363">
        <v>0.98489999999999966</v>
      </c>
      <c r="N33" s="363">
        <v>1.0645000000000007</v>
      </c>
      <c r="O33" s="363">
        <v>1.1847999999999992</v>
      </c>
      <c r="P33" s="363">
        <v>1.3361999999999998</v>
      </c>
      <c r="Q33" s="363">
        <v>1.5461000000000009</v>
      </c>
      <c r="R33" s="363">
        <v>1.8609000000000009</v>
      </c>
      <c r="S33" s="364">
        <v>0.91389374999999995</v>
      </c>
      <c r="T33" s="549">
        <v>0</v>
      </c>
    </row>
    <row r="34" spans="1:24" ht="13.5" customHeight="1" thickBot="1">
      <c r="A34" s="294">
        <v>20.5</v>
      </c>
      <c r="B34" s="366">
        <v>0.95699000000000001</v>
      </c>
      <c r="C34" s="367">
        <v>0.17650000000000077</v>
      </c>
      <c r="D34" s="367">
        <v>0.34100000000000108</v>
      </c>
      <c r="E34" s="367">
        <v>0.45059999999999789</v>
      </c>
      <c r="F34" s="367">
        <v>0.53359999999999985</v>
      </c>
      <c r="G34" s="367">
        <v>0.60320000000000107</v>
      </c>
      <c r="H34" s="367">
        <v>0.66479999999999961</v>
      </c>
      <c r="I34" s="367">
        <v>0.71879999999999988</v>
      </c>
      <c r="J34" s="367">
        <v>0.77009999999999934</v>
      </c>
      <c r="K34" s="367">
        <v>0.82319999999999993</v>
      </c>
      <c r="L34" s="367">
        <v>0.88049999999999962</v>
      </c>
      <c r="M34" s="367">
        <v>0.94960000000000022</v>
      </c>
      <c r="N34" s="367">
        <v>1.0393000000000008</v>
      </c>
      <c r="O34" s="367">
        <v>1.1723999999999997</v>
      </c>
      <c r="P34" s="367">
        <v>1.3372000000000011</v>
      </c>
      <c r="Q34" s="367">
        <v>1.563699999999999</v>
      </c>
      <c r="R34" s="367">
        <v>1.900500000000001</v>
      </c>
      <c r="S34" s="368">
        <v>0.87031250000000004</v>
      </c>
      <c r="T34" s="548">
        <v>0</v>
      </c>
    </row>
    <row r="35" spans="1:24" ht="13.5" customHeight="1">
      <c r="A35" s="295">
        <v>20.5</v>
      </c>
      <c r="B35" s="362">
        <v>0.93637000000000004</v>
      </c>
      <c r="C35" s="363">
        <v>0.29449999999999932</v>
      </c>
      <c r="D35" s="363">
        <v>0.54200000000000159</v>
      </c>
      <c r="E35" s="363">
        <v>0.69759999999999778</v>
      </c>
      <c r="F35" s="363">
        <v>0.81159999999999854</v>
      </c>
      <c r="G35" s="363">
        <v>0.90820000000000078</v>
      </c>
      <c r="H35" s="363">
        <v>0.99380000000000024</v>
      </c>
      <c r="I35" s="363">
        <v>1.0698000000000008</v>
      </c>
      <c r="J35" s="363">
        <v>1.1431000000000004</v>
      </c>
      <c r="K35" s="363">
        <v>1.2222000000000008</v>
      </c>
      <c r="L35" s="363">
        <v>1.3104999999999993</v>
      </c>
      <c r="M35" s="363">
        <v>1.4195999999999991</v>
      </c>
      <c r="N35" s="363">
        <v>1.5713000000000008</v>
      </c>
      <c r="O35" s="363">
        <v>1.8023999999999987</v>
      </c>
      <c r="P35" s="363">
        <v>2.0842000000000009</v>
      </c>
      <c r="Q35" s="363">
        <v>2.4596999999999998</v>
      </c>
      <c r="R35" s="363">
        <v>2.9984999999999999</v>
      </c>
      <c r="S35" s="364">
        <v>1.3330625</v>
      </c>
      <c r="T35" s="547">
        <v>0</v>
      </c>
      <c r="X35" s="303"/>
    </row>
    <row r="36" spans="1:24" ht="13.5" customHeight="1">
      <c r="A36" s="296">
        <v>21.5</v>
      </c>
      <c r="B36" s="365">
        <v>0.9410599999999999</v>
      </c>
      <c r="C36" s="363">
        <v>7.8699999999997772E-2</v>
      </c>
      <c r="D36" s="363">
        <v>0.4001000000000019</v>
      </c>
      <c r="E36" s="363">
        <v>0.59550000000000125</v>
      </c>
      <c r="F36" s="363">
        <v>0.73410000000000153</v>
      </c>
      <c r="G36" s="363">
        <v>0.84860000000000113</v>
      </c>
      <c r="H36" s="363">
        <v>0.95099999999999696</v>
      </c>
      <c r="I36" s="363">
        <v>1.0399000000000029</v>
      </c>
      <c r="J36" s="363">
        <v>1.1267999999999994</v>
      </c>
      <c r="K36" s="363">
        <v>1.2228999999999992</v>
      </c>
      <c r="L36" s="363">
        <v>1.3322000000000003</v>
      </c>
      <c r="M36" s="363">
        <v>1.4678000000000004</v>
      </c>
      <c r="N36" s="363">
        <v>1.6544000000000008</v>
      </c>
      <c r="O36" s="363">
        <v>1.9238999999999979</v>
      </c>
      <c r="P36" s="363">
        <v>2.2431000000000001</v>
      </c>
      <c r="Q36" s="363">
        <v>2.645999999999999</v>
      </c>
      <c r="R36" s="363">
        <v>3.1955000000000009</v>
      </c>
      <c r="S36" s="364">
        <v>1.3412812500000002</v>
      </c>
      <c r="T36" s="549">
        <v>0</v>
      </c>
      <c r="X36" s="303"/>
    </row>
    <row r="37" spans="1:24" ht="13.5" customHeight="1">
      <c r="A37" s="296">
        <v>22.5</v>
      </c>
      <c r="B37" s="365">
        <v>0.94513000000000003</v>
      </c>
      <c r="C37" s="371">
        <v>-1.8900000000002137E-2</v>
      </c>
      <c r="D37" s="363">
        <v>0.32800000000000296</v>
      </c>
      <c r="E37" s="363">
        <v>0.5379999999999967</v>
      </c>
      <c r="F37" s="363">
        <v>0.68709999999999738</v>
      </c>
      <c r="G37" s="363">
        <v>0.80770000000000053</v>
      </c>
      <c r="H37" s="363">
        <v>0.91600000000000037</v>
      </c>
      <c r="I37" s="363">
        <v>1.0091999999999999</v>
      </c>
      <c r="J37" s="363">
        <v>1.1027000000000022</v>
      </c>
      <c r="K37" s="363">
        <v>1.2038999999999973</v>
      </c>
      <c r="L37" s="363">
        <v>1.3212999999999973</v>
      </c>
      <c r="M37" s="363">
        <v>1.4656999999999982</v>
      </c>
      <c r="N37" s="363">
        <v>1.6646999999999998</v>
      </c>
      <c r="O37" s="363">
        <v>1.9419000000000004</v>
      </c>
      <c r="P37" s="363">
        <v>2.2654999999999994</v>
      </c>
      <c r="Q37" s="363">
        <v>2.6651999999999987</v>
      </c>
      <c r="R37" s="363">
        <v>3.190100000000001</v>
      </c>
      <c r="S37" s="364">
        <v>1.3180062499999994</v>
      </c>
      <c r="T37" s="549">
        <v>0</v>
      </c>
      <c r="X37" s="303"/>
    </row>
    <row r="38" spans="1:24" ht="13.5" customHeight="1">
      <c r="A38" s="296">
        <v>24</v>
      </c>
      <c r="B38" s="365">
        <v>0.94941999999999993</v>
      </c>
      <c r="C38" s="363">
        <v>0.17139999999999844</v>
      </c>
      <c r="D38" s="363">
        <v>0.41399999999999793</v>
      </c>
      <c r="E38" s="363">
        <v>0.56559999999999988</v>
      </c>
      <c r="F38" s="363">
        <v>0.67590000000000217</v>
      </c>
      <c r="G38" s="363">
        <v>0.76770000000000138</v>
      </c>
      <c r="H38" s="363">
        <v>0.84880000000000067</v>
      </c>
      <c r="I38" s="363">
        <v>0.92340000000000089</v>
      </c>
      <c r="J38" s="363">
        <v>0.9953000000000003</v>
      </c>
      <c r="K38" s="363">
        <v>1.0721000000000007</v>
      </c>
      <c r="L38" s="363">
        <v>1.158100000000001</v>
      </c>
      <c r="M38" s="363">
        <v>1.2667999999999999</v>
      </c>
      <c r="N38" s="363">
        <v>1.4242999999999988</v>
      </c>
      <c r="O38" s="363">
        <v>1.6491999999999987</v>
      </c>
      <c r="P38" s="363">
        <v>1.9109999999999996</v>
      </c>
      <c r="Q38" s="363">
        <v>2.2494999999999994</v>
      </c>
      <c r="R38" s="363">
        <v>2.7158999999999995</v>
      </c>
      <c r="S38" s="364">
        <v>1.1755624999999998</v>
      </c>
      <c r="T38" s="549">
        <v>0</v>
      </c>
      <c r="X38" s="303"/>
    </row>
    <row r="39" spans="1:24" ht="13.5" customHeight="1">
      <c r="A39" s="296">
        <v>25</v>
      </c>
      <c r="B39" s="365">
        <v>0.95165000000000011</v>
      </c>
      <c r="C39" s="363">
        <v>0.24230000000000018</v>
      </c>
      <c r="D39" s="363">
        <v>0.43819999999999837</v>
      </c>
      <c r="E39" s="363">
        <v>0.56440000000000268</v>
      </c>
      <c r="F39" s="363">
        <v>0.65920000000000201</v>
      </c>
      <c r="G39" s="363">
        <v>0.73819999999999908</v>
      </c>
      <c r="H39" s="363">
        <v>0.80850000000000044</v>
      </c>
      <c r="I39" s="363">
        <v>0.87229999999999919</v>
      </c>
      <c r="J39" s="363">
        <v>0.93290000000000006</v>
      </c>
      <c r="K39" s="363">
        <v>0.99780000000000157</v>
      </c>
      <c r="L39" s="363">
        <v>1.0686</v>
      </c>
      <c r="M39" s="363">
        <v>1.1588000000000012</v>
      </c>
      <c r="N39" s="363">
        <v>1.2881999999999998</v>
      </c>
      <c r="O39" s="363">
        <v>1.4757999999999996</v>
      </c>
      <c r="P39" s="363">
        <v>1.7002999999999986</v>
      </c>
      <c r="Q39" s="363">
        <v>1.9986999999999995</v>
      </c>
      <c r="R39" s="363">
        <v>2.4244000000000003</v>
      </c>
      <c r="S39" s="364">
        <v>1.0855375</v>
      </c>
      <c r="T39" s="549">
        <v>0</v>
      </c>
      <c r="X39" s="303"/>
    </row>
    <row r="40" spans="1:24" ht="13.5" customHeight="1">
      <c r="A40" s="296">
        <v>26.4</v>
      </c>
      <c r="B40" s="365">
        <v>0.95484999999999998</v>
      </c>
      <c r="C40" s="363">
        <v>0.25489999999999924</v>
      </c>
      <c r="D40" s="363">
        <v>0.42149999999999821</v>
      </c>
      <c r="E40" s="363">
        <v>0.53119999999999834</v>
      </c>
      <c r="F40" s="363">
        <v>0.61530000000000129</v>
      </c>
      <c r="G40" s="363">
        <v>0.68609999999999971</v>
      </c>
      <c r="H40" s="363">
        <v>0.7480999999999991</v>
      </c>
      <c r="I40" s="363">
        <v>0.80339999999999989</v>
      </c>
      <c r="J40" s="363">
        <v>0.85719999999999885</v>
      </c>
      <c r="K40" s="363">
        <v>0.91130000000000067</v>
      </c>
      <c r="L40" s="363">
        <v>0.97029999999999994</v>
      </c>
      <c r="M40" s="363">
        <v>1.0443999999999996</v>
      </c>
      <c r="N40" s="363">
        <v>1.1501000000000001</v>
      </c>
      <c r="O40" s="363">
        <v>1.3043999999999993</v>
      </c>
      <c r="P40" s="363">
        <v>1.4939999999999998</v>
      </c>
      <c r="Q40" s="363">
        <v>1.753400000000001</v>
      </c>
      <c r="R40" s="363">
        <v>2.1319999999999997</v>
      </c>
      <c r="S40" s="364">
        <v>0.97984999999999967</v>
      </c>
      <c r="T40" s="549">
        <v>0</v>
      </c>
      <c r="X40" s="303"/>
    </row>
    <row r="41" spans="1:24" ht="13.5" customHeight="1">
      <c r="A41" s="296">
        <v>28</v>
      </c>
      <c r="B41" s="365">
        <v>0.95843</v>
      </c>
      <c r="C41" s="363">
        <v>0.26719999999999899</v>
      </c>
      <c r="D41" s="363">
        <v>0.41819999999999879</v>
      </c>
      <c r="E41" s="363">
        <v>0.51919999999999789</v>
      </c>
      <c r="F41" s="363">
        <v>0.59750000000000014</v>
      </c>
      <c r="G41" s="363">
        <v>0.66310000000000002</v>
      </c>
      <c r="H41" s="363">
        <v>0.72029999999999994</v>
      </c>
      <c r="I41" s="363">
        <v>0.77129999999999832</v>
      </c>
      <c r="J41" s="363">
        <v>0.81959999999999944</v>
      </c>
      <c r="K41" s="363">
        <v>0.86920000000000108</v>
      </c>
      <c r="L41" s="363">
        <v>0.92220000000000013</v>
      </c>
      <c r="M41" s="363">
        <v>0.98830000000000062</v>
      </c>
      <c r="N41" s="363">
        <v>1.0823</v>
      </c>
      <c r="O41" s="363">
        <v>1.2199000000000009</v>
      </c>
      <c r="P41" s="363">
        <v>1.3917000000000002</v>
      </c>
      <c r="Q41" s="363">
        <v>1.6287000000000003</v>
      </c>
      <c r="R41" s="363">
        <v>1.9777000000000005</v>
      </c>
      <c r="S41" s="364">
        <v>0.92852499999999982</v>
      </c>
      <c r="T41" s="549">
        <v>0</v>
      </c>
      <c r="X41" s="303"/>
    </row>
    <row r="42" spans="1:24" ht="13.5" customHeight="1">
      <c r="A42" s="296">
        <v>30</v>
      </c>
      <c r="B42" s="365">
        <v>0.96129999999999993</v>
      </c>
      <c r="C42" s="363">
        <v>0.27799999999999869</v>
      </c>
      <c r="D42" s="363">
        <v>0.42650000000000077</v>
      </c>
      <c r="E42" s="363">
        <v>0.527199999999997</v>
      </c>
      <c r="F42" s="363">
        <v>0.60500000000000043</v>
      </c>
      <c r="G42" s="363">
        <v>0.66969999999999885</v>
      </c>
      <c r="H42" s="363">
        <v>0.7262000000000004</v>
      </c>
      <c r="I42" s="363">
        <v>0.77630000000000088</v>
      </c>
      <c r="J42" s="363">
        <v>0.82369999999999877</v>
      </c>
      <c r="K42" s="363">
        <v>0.87190000000000012</v>
      </c>
      <c r="L42" s="363">
        <v>0.92379999999999995</v>
      </c>
      <c r="M42" s="363">
        <v>0.98750000000000071</v>
      </c>
      <c r="N42" s="363">
        <v>1.0797000000000008</v>
      </c>
      <c r="O42" s="363">
        <v>1.2152000000000012</v>
      </c>
      <c r="P42" s="363">
        <v>1.3825000000000003</v>
      </c>
      <c r="Q42" s="363">
        <v>1.6149000000000004</v>
      </c>
      <c r="R42" s="363">
        <v>1.9550000000000001</v>
      </c>
      <c r="S42" s="364">
        <v>0.92894374999999996</v>
      </c>
      <c r="T42" s="549">
        <v>0</v>
      </c>
      <c r="X42" s="303"/>
    </row>
    <row r="43" spans="1:24" ht="13.5" customHeight="1">
      <c r="A43" s="296">
        <v>32</v>
      </c>
      <c r="B43" s="365">
        <v>0.96298000000000006</v>
      </c>
      <c r="C43" s="363">
        <v>0.27789999999999893</v>
      </c>
      <c r="D43" s="363">
        <v>0.43130000000000024</v>
      </c>
      <c r="E43" s="363">
        <v>0.53579999999999828</v>
      </c>
      <c r="F43" s="363">
        <v>0.61560000000000059</v>
      </c>
      <c r="G43" s="363">
        <v>0.68159999999999954</v>
      </c>
      <c r="H43" s="363">
        <v>0.7397999999999989</v>
      </c>
      <c r="I43" s="363">
        <v>0.79100000000000037</v>
      </c>
      <c r="J43" s="363">
        <v>0.83819999999999872</v>
      </c>
      <c r="K43" s="363">
        <v>0.88699999999999868</v>
      </c>
      <c r="L43" s="363">
        <v>0.93839999999999968</v>
      </c>
      <c r="M43" s="363">
        <v>1.0020000000000007</v>
      </c>
      <c r="N43" s="363">
        <v>1.0937000000000001</v>
      </c>
      <c r="O43" s="363">
        <v>1.2248000000000001</v>
      </c>
      <c r="P43" s="363">
        <v>1.3863000000000003</v>
      </c>
      <c r="Q43" s="363">
        <v>1.6067999999999998</v>
      </c>
      <c r="R43" s="363">
        <v>1.9299999999999997</v>
      </c>
      <c r="S43" s="364">
        <v>0.93626249999999966</v>
      </c>
      <c r="T43" s="549">
        <v>0</v>
      </c>
      <c r="X43" s="303"/>
    </row>
    <row r="44" spans="1:24" ht="13.5" customHeight="1" thickBot="1">
      <c r="A44" s="297">
        <v>34</v>
      </c>
      <c r="B44" s="366">
        <v>0.95980999999999994</v>
      </c>
      <c r="C44" s="367">
        <v>0.1988999999999983</v>
      </c>
      <c r="D44" s="367">
        <v>0.35600000000000165</v>
      </c>
      <c r="E44" s="367">
        <v>0.46240000000000236</v>
      </c>
      <c r="F44" s="367">
        <v>0.54250000000000043</v>
      </c>
      <c r="G44" s="367">
        <v>0.60860000000000092</v>
      </c>
      <c r="H44" s="367">
        <v>0.66629999999999967</v>
      </c>
      <c r="I44" s="367">
        <v>0.71759999999999913</v>
      </c>
      <c r="J44" s="367">
        <v>0.76469999999999949</v>
      </c>
      <c r="K44" s="367">
        <v>0.81320000000000014</v>
      </c>
      <c r="L44" s="367">
        <v>0.86490000000000045</v>
      </c>
      <c r="M44" s="367">
        <v>0.92810000000000059</v>
      </c>
      <c r="N44" s="367">
        <v>1.0167999999999999</v>
      </c>
      <c r="O44" s="367">
        <v>1.1418999999999997</v>
      </c>
      <c r="P44" s="367">
        <v>1.2971000000000004</v>
      </c>
      <c r="Q44" s="367">
        <v>1.5091000000000001</v>
      </c>
      <c r="R44" s="367">
        <v>1.8217999999999996</v>
      </c>
      <c r="S44" s="368">
        <v>0.85686875000000018</v>
      </c>
      <c r="T44" s="548">
        <v>0</v>
      </c>
      <c r="X44" s="303"/>
    </row>
    <row r="45" spans="1:24" ht="13.5" customHeight="1">
      <c r="A45" s="298">
        <v>30.5</v>
      </c>
      <c r="B45" s="362">
        <v>0.93791999999999998</v>
      </c>
      <c r="C45" s="363">
        <v>0.37079999999999913</v>
      </c>
      <c r="D45" s="363">
        <v>0.57950000000000301</v>
      </c>
      <c r="E45" s="363">
        <v>0.71529999999999916</v>
      </c>
      <c r="F45" s="363">
        <v>0.81700000000000017</v>
      </c>
      <c r="G45" s="363">
        <v>0.90090000000000003</v>
      </c>
      <c r="H45" s="363">
        <v>0.97579999999999956</v>
      </c>
      <c r="I45" s="363">
        <v>1.0426000000000002</v>
      </c>
      <c r="J45" s="363">
        <v>1.1062999999999992</v>
      </c>
      <c r="K45" s="363">
        <v>1.1711999999999989</v>
      </c>
      <c r="L45" s="363">
        <v>1.2431999999999999</v>
      </c>
      <c r="M45" s="363">
        <v>1.3338000000000001</v>
      </c>
      <c r="N45" s="363">
        <v>1.4682000000000013</v>
      </c>
      <c r="O45" s="363">
        <v>1.6649999999999991</v>
      </c>
      <c r="P45" s="363">
        <v>1.9126999999999992</v>
      </c>
      <c r="Q45" s="363">
        <v>2.2520000000000007</v>
      </c>
      <c r="R45" s="363">
        <v>2.7435000000000009</v>
      </c>
      <c r="S45" s="364">
        <v>1.2686124999999999</v>
      </c>
      <c r="T45" s="547">
        <v>0</v>
      </c>
      <c r="X45" s="303"/>
    </row>
    <row r="46" spans="1:24" ht="13.5" customHeight="1">
      <c r="A46" s="299">
        <v>32</v>
      </c>
      <c r="B46" s="365">
        <v>0.9426000000000001</v>
      </c>
      <c r="C46" s="363">
        <v>0.33190000000000097</v>
      </c>
      <c r="D46" s="363">
        <v>0.53230000000000288</v>
      </c>
      <c r="E46" s="363">
        <v>0.6617999999999995</v>
      </c>
      <c r="F46" s="363">
        <v>0.75760000000000005</v>
      </c>
      <c r="G46" s="363">
        <v>0.83859999999999957</v>
      </c>
      <c r="H46" s="363">
        <v>0.90879999999999939</v>
      </c>
      <c r="I46" s="363">
        <v>0.97300000000000075</v>
      </c>
      <c r="J46" s="363">
        <v>1.0351999999999997</v>
      </c>
      <c r="K46" s="363">
        <v>1.097999999999999</v>
      </c>
      <c r="L46" s="363">
        <v>1.1684000000000001</v>
      </c>
      <c r="M46" s="363">
        <v>1.2580000000000009</v>
      </c>
      <c r="N46" s="363">
        <v>1.3917000000000002</v>
      </c>
      <c r="O46" s="363">
        <v>1.5858000000000008</v>
      </c>
      <c r="P46" s="363">
        <v>1.8262999999999998</v>
      </c>
      <c r="Q46" s="363">
        <v>2.1517999999999997</v>
      </c>
      <c r="R46" s="363">
        <v>2.6159999999999997</v>
      </c>
      <c r="S46" s="364">
        <v>1.1959500000000003</v>
      </c>
      <c r="T46" s="549">
        <v>0</v>
      </c>
    </row>
    <row r="47" spans="1:24" ht="13.5" customHeight="1">
      <c r="A47" s="299">
        <v>34</v>
      </c>
      <c r="B47" s="365">
        <v>0.94771000000000005</v>
      </c>
      <c r="C47" s="363">
        <v>0.29189999999999827</v>
      </c>
      <c r="D47" s="363">
        <v>0.49000000000000199</v>
      </c>
      <c r="E47" s="363">
        <v>0.61739999999999995</v>
      </c>
      <c r="F47" s="363">
        <v>0.71149999999999736</v>
      </c>
      <c r="G47" s="363">
        <v>0.78960000000000008</v>
      </c>
      <c r="H47" s="363">
        <v>0.85929999999999929</v>
      </c>
      <c r="I47" s="363">
        <v>0.9225999999999992</v>
      </c>
      <c r="J47" s="363">
        <v>0.98369999999999891</v>
      </c>
      <c r="K47" s="363">
        <v>1.0472000000000001</v>
      </c>
      <c r="L47" s="363">
        <v>1.1179000000000006</v>
      </c>
      <c r="M47" s="363">
        <v>1.2081</v>
      </c>
      <c r="N47" s="363">
        <v>1.3437999999999999</v>
      </c>
      <c r="O47" s="363">
        <v>1.536900000000001</v>
      </c>
      <c r="P47" s="363">
        <v>1.7731000000000012</v>
      </c>
      <c r="Q47" s="363">
        <v>2.0861000000000001</v>
      </c>
      <c r="R47" s="363">
        <v>2.5237999999999996</v>
      </c>
      <c r="S47" s="364">
        <v>1.1439312499999998</v>
      </c>
      <c r="T47" s="549">
        <v>0</v>
      </c>
    </row>
    <row r="48" spans="1:24" ht="13.5" customHeight="1">
      <c r="A48" s="299">
        <v>37</v>
      </c>
      <c r="B48" s="365">
        <v>0.95263000000000009</v>
      </c>
      <c r="C48" s="363">
        <v>0.21229999999999905</v>
      </c>
      <c r="D48" s="363">
        <v>0.42740000000000222</v>
      </c>
      <c r="E48" s="363">
        <v>0.56449999999999889</v>
      </c>
      <c r="F48" s="363">
        <v>0.665300000000002</v>
      </c>
      <c r="G48" s="363">
        <v>0.74859999999999971</v>
      </c>
      <c r="H48" s="363">
        <v>0.82130000000000081</v>
      </c>
      <c r="I48" s="363">
        <v>0.88739999999999952</v>
      </c>
      <c r="J48" s="363">
        <v>0.95040000000000013</v>
      </c>
      <c r="K48" s="363">
        <v>1.0155000000000012</v>
      </c>
      <c r="L48" s="363">
        <v>1.0889000000000006</v>
      </c>
      <c r="M48" s="363">
        <v>1.1821999999999999</v>
      </c>
      <c r="N48" s="363">
        <v>1.3203999999999994</v>
      </c>
      <c r="O48" s="363">
        <v>1.5109999999999992</v>
      </c>
      <c r="P48" s="363">
        <v>1.7403999999999993</v>
      </c>
      <c r="Q48" s="363">
        <v>2.0411999999999999</v>
      </c>
      <c r="R48" s="363">
        <v>2.4617000000000004</v>
      </c>
      <c r="S48" s="364">
        <v>1.10240625</v>
      </c>
      <c r="T48" s="549">
        <v>0</v>
      </c>
    </row>
    <row r="49" spans="1:20" ht="13.5" customHeight="1">
      <c r="A49" s="299">
        <v>39.200000000000003</v>
      </c>
      <c r="B49" s="365">
        <v>0.9559399999999999</v>
      </c>
      <c r="C49" s="363">
        <v>0.12239999999999895</v>
      </c>
      <c r="D49" s="363">
        <v>0.35640000000000072</v>
      </c>
      <c r="E49" s="363">
        <v>0.50559999999999761</v>
      </c>
      <c r="F49" s="363">
        <v>0.61299999999999955</v>
      </c>
      <c r="G49" s="363">
        <v>0.70080000000000098</v>
      </c>
      <c r="H49" s="363">
        <v>0.77759999999999962</v>
      </c>
      <c r="I49" s="363">
        <v>0.84540000000000148</v>
      </c>
      <c r="J49" s="363">
        <v>0.91019999999999968</v>
      </c>
      <c r="K49" s="363">
        <v>0.97920000000000051</v>
      </c>
      <c r="L49" s="363">
        <v>1.0548999999999999</v>
      </c>
      <c r="M49" s="363">
        <v>1.1504999999999992</v>
      </c>
      <c r="N49" s="363">
        <v>1.2909000000000006</v>
      </c>
      <c r="O49" s="363">
        <v>1.4786999999999999</v>
      </c>
      <c r="P49" s="363">
        <v>1.7028999999999996</v>
      </c>
      <c r="Q49" s="363">
        <v>1.9985999999999997</v>
      </c>
      <c r="R49" s="363">
        <v>2.4093</v>
      </c>
      <c r="S49" s="364">
        <v>1.056025</v>
      </c>
      <c r="T49" s="549">
        <v>0</v>
      </c>
    </row>
    <row r="50" spans="1:20" ht="13.5" customHeight="1">
      <c r="A50" s="299">
        <v>43</v>
      </c>
      <c r="B50" s="365">
        <v>0.96104000000000001</v>
      </c>
      <c r="C50" s="371">
        <v>-2.6800000000001489E-2</v>
      </c>
      <c r="D50" s="363">
        <v>0.26120000000000232</v>
      </c>
      <c r="E50" s="363">
        <v>0.44270000000000209</v>
      </c>
      <c r="F50" s="363">
        <v>0.57200000000000273</v>
      </c>
      <c r="G50" s="363">
        <v>0.67399999999999949</v>
      </c>
      <c r="H50" s="363">
        <v>0.76179999999999737</v>
      </c>
      <c r="I50" s="363">
        <v>0.84059999999999846</v>
      </c>
      <c r="J50" s="363">
        <v>0.91479999999999961</v>
      </c>
      <c r="K50" s="363">
        <v>0.99469999999999814</v>
      </c>
      <c r="L50" s="363">
        <v>1.0832000000000015</v>
      </c>
      <c r="M50" s="363">
        <v>1.1948000000000008</v>
      </c>
      <c r="N50" s="363">
        <v>1.3535000000000004</v>
      </c>
      <c r="O50" s="363">
        <v>1.5578000000000003</v>
      </c>
      <c r="P50" s="363">
        <v>1.796999999999997</v>
      </c>
      <c r="Q50" s="363">
        <v>2.1011000000000024</v>
      </c>
      <c r="R50" s="363">
        <v>2.5104000000000006</v>
      </c>
      <c r="S50" s="364">
        <v>1.0645500000000001</v>
      </c>
      <c r="T50" s="549">
        <v>0</v>
      </c>
    </row>
    <row r="51" spans="1:20" ht="13.5" customHeight="1">
      <c r="A51" s="299">
        <v>45.5</v>
      </c>
      <c r="B51" s="365">
        <v>0.96318999999999999</v>
      </c>
      <c r="C51" s="371">
        <v>-0.18689999999999429</v>
      </c>
      <c r="D51" s="363">
        <v>0.16460000000000008</v>
      </c>
      <c r="E51" s="363">
        <v>0.38819999999999766</v>
      </c>
      <c r="F51" s="363">
        <v>0.54429999999999978</v>
      </c>
      <c r="G51" s="363">
        <v>0.66799999999999926</v>
      </c>
      <c r="H51" s="363">
        <v>0.77350000000000563</v>
      </c>
      <c r="I51" s="363">
        <v>0.8670999999999971</v>
      </c>
      <c r="J51" s="363">
        <v>0.95629999999999882</v>
      </c>
      <c r="K51" s="363">
        <v>1.0508999999999986</v>
      </c>
      <c r="L51" s="363">
        <v>1.1568000000000005</v>
      </c>
      <c r="M51" s="363">
        <v>1.2887999999999984</v>
      </c>
      <c r="N51" s="363">
        <v>1.4699999999999989</v>
      </c>
      <c r="O51" s="363">
        <v>1.6950000000000003</v>
      </c>
      <c r="P51" s="363">
        <v>1.9527999999999999</v>
      </c>
      <c r="Q51" s="363">
        <v>2.2714999999999996</v>
      </c>
      <c r="R51" s="363">
        <v>2.6782000000000004</v>
      </c>
      <c r="S51" s="364">
        <v>1.10869375</v>
      </c>
      <c r="T51" s="549">
        <v>0</v>
      </c>
    </row>
    <row r="52" spans="1:20" ht="13.5" customHeight="1">
      <c r="A52" s="299">
        <v>48</v>
      </c>
      <c r="B52" s="365">
        <v>0.96412000000000009</v>
      </c>
      <c r="C52" s="371">
        <v>-0.47860000000000014</v>
      </c>
      <c r="D52" s="371">
        <v>-3.2400000000009754E-2</v>
      </c>
      <c r="E52" s="363">
        <v>0.25679999999999836</v>
      </c>
      <c r="F52" s="363">
        <v>0.46050000000000324</v>
      </c>
      <c r="G52" s="363">
        <v>0.62119999999999465</v>
      </c>
      <c r="H52" s="363">
        <v>0.75609999999999644</v>
      </c>
      <c r="I52" s="363">
        <v>0.87469999999999715</v>
      </c>
      <c r="J52" s="363">
        <v>0.98769999999999669</v>
      </c>
      <c r="K52" s="363">
        <v>1.1069999999999993</v>
      </c>
      <c r="L52" s="363">
        <v>1.2366000000000028</v>
      </c>
      <c r="M52" s="363">
        <v>1.3935999999999993</v>
      </c>
      <c r="N52" s="363">
        <v>1.5945999999999998</v>
      </c>
      <c r="O52" s="363">
        <v>1.8325999999999993</v>
      </c>
      <c r="P52" s="363">
        <v>2.1004000000000005</v>
      </c>
      <c r="Q52" s="363">
        <v>2.419000000000004</v>
      </c>
      <c r="R52" s="363">
        <v>2.7911000000000001</v>
      </c>
      <c r="S52" s="364">
        <v>1.1200562499999989</v>
      </c>
      <c r="T52" s="549">
        <v>0</v>
      </c>
    </row>
    <row r="53" spans="1:20" ht="13.5" customHeight="1">
      <c r="A53" s="299">
        <v>49.5</v>
      </c>
      <c r="B53" s="365">
        <v>0.96290000000000009</v>
      </c>
      <c r="C53" s="371">
        <v>-0.79820000000000846</v>
      </c>
      <c r="D53" s="371">
        <v>-0.27980000000000871</v>
      </c>
      <c r="E53" s="363">
        <v>6.3000000000002387E-2</v>
      </c>
      <c r="F53" s="363">
        <v>0.31109999999999616</v>
      </c>
      <c r="G53" s="363">
        <v>0.50669999999999504</v>
      </c>
      <c r="H53" s="363">
        <v>0.67119999999999891</v>
      </c>
      <c r="I53" s="363">
        <v>0.81520000000000437</v>
      </c>
      <c r="J53" s="363">
        <v>0.95120000000000005</v>
      </c>
      <c r="K53" s="363">
        <v>1.0927999999999969</v>
      </c>
      <c r="L53" s="363">
        <v>1.2450000000000045</v>
      </c>
      <c r="M53" s="363">
        <v>1.4204000000000008</v>
      </c>
      <c r="N53" s="363">
        <v>1.6341000000000037</v>
      </c>
      <c r="O53" s="363">
        <v>1.8797999999999959</v>
      </c>
      <c r="P53" s="363">
        <v>2.1526999999999958</v>
      </c>
      <c r="Q53" s="363">
        <v>2.4666999999999959</v>
      </c>
      <c r="R53" s="363">
        <v>2.8081000000000031</v>
      </c>
      <c r="S53" s="364">
        <v>1.0587499999999985</v>
      </c>
      <c r="T53" s="549">
        <v>0</v>
      </c>
    </row>
    <row r="54" spans="1:20" ht="13.5" customHeight="1" thickBot="1">
      <c r="A54" s="300">
        <v>50.5</v>
      </c>
      <c r="B54" s="366">
        <v>0.96132999999999991</v>
      </c>
      <c r="C54" s="372">
        <v>-1.0408999999999935</v>
      </c>
      <c r="D54" s="372">
        <v>-0.49020000000000152</v>
      </c>
      <c r="E54" s="372">
        <v>-9.8399999999998045E-2</v>
      </c>
      <c r="F54" s="367">
        <v>0.18850000000000477</v>
      </c>
      <c r="G54" s="367">
        <v>0.41429999999999723</v>
      </c>
      <c r="H54" s="367">
        <v>0.60450000000000159</v>
      </c>
      <c r="I54" s="367">
        <v>0.77119999999999322</v>
      </c>
      <c r="J54" s="367">
        <v>0.92810000000000059</v>
      </c>
      <c r="K54" s="367">
        <v>1.0899000000000001</v>
      </c>
      <c r="L54" s="367">
        <v>1.2597999999999985</v>
      </c>
      <c r="M54" s="367">
        <v>1.4498000000000033</v>
      </c>
      <c r="N54" s="367">
        <v>1.6730000000000018</v>
      </c>
      <c r="O54" s="367">
        <v>1.9218000000000046</v>
      </c>
      <c r="P54" s="367">
        <v>2.1944999999999979</v>
      </c>
      <c r="Q54" s="367">
        <v>2.4983999999999966</v>
      </c>
      <c r="R54" s="367">
        <v>2.8057000000000016</v>
      </c>
      <c r="S54" s="368">
        <v>1.0106250000000006</v>
      </c>
      <c r="T54" s="548">
        <v>0</v>
      </c>
    </row>
    <row r="55" spans="1:20" ht="13.5" customHeight="1">
      <c r="A55" s="301">
        <v>70</v>
      </c>
      <c r="B55" s="362">
        <v>0.94054000000000004</v>
      </c>
      <c r="C55" s="371">
        <v>-0.42839999999998213</v>
      </c>
      <c r="D55" s="371">
        <v>-7.9499999999995907E-2</v>
      </c>
      <c r="E55" s="363">
        <v>0.13720000000000709</v>
      </c>
      <c r="F55" s="363">
        <v>0.27110000000000412</v>
      </c>
      <c r="G55" s="363">
        <v>0.36839999999999407</v>
      </c>
      <c r="H55" s="363">
        <v>0.43810000000000571</v>
      </c>
      <c r="I55" s="363">
        <v>0.49569999999999936</v>
      </c>
      <c r="J55" s="363">
        <v>0.540300000000002</v>
      </c>
      <c r="K55" s="363">
        <v>0.58259999999999934</v>
      </c>
      <c r="L55" s="363">
        <v>0.62160000000000082</v>
      </c>
      <c r="M55" s="363">
        <v>0.65610000000000213</v>
      </c>
      <c r="N55" s="363">
        <v>0.694500000000005</v>
      </c>
      <c r="O55" s="363">
        <v>0.73510000000000275</v>
      </c>
      <c r="P55" s="363">
        <v>0.77759999999999962</v>
      </c>
      <c r="Q55" s="363">
        <v>0.82629999999999626</v>
      </c>
      <c r="R55" s="363">
        <v>0.88300000000000267</v>
      </c>
      <c r="S55" s="364">
        <v>0.46998125000000268</v>
      </c>
      <c r="T55" s="547">
        <v>0</v>
      </c>
    </row>
    <row r="56" spans="1:20" ht="13.5" customHeight="1">
      <c r="A56" s="302">
        <v>72</v>
      </c>
      <c r="B56" s="365">
        <v>0.94319999999999993</v>
      </c>
      <c r="C56" s="371">
        <v>-0.15789999999999793</v>
      </c>
      <c r="D56" s="363">
        <v>9.8200000000005616E-2</v>
      </c>
      <c r="E56" s="363">
        <v>0.24099999999999966</v>
      </c>
      <c r="F56" s="363">
        <v>0.32630000000000337</v>
      </c>
      <c r="G56" s="363">
        <v>0.38429999999999609</v>
      </c>
      <c r="H56" s="363">
        <v>0.42510000000000048</v>
      </c>
      <c r="I56" s="363">
        <v>0.46000000000000085</v>
      </c>
      <c r="J56" s="363">
        <v>0.48649999999999949</v>
      </c>
      <c r="K56" s="363">
        <v>0.51270000000000238</v>
      </c>
      <c r="L56" s="363">
        <v>0.5373999999999981</v>
      </c>
      <c r="M56" s="363">
        <v>0.56040000000000134</v>
      </c>
      <c r="N56" s="363">
        <v>0.58639999999999759</v>
      </c>
      <c r="O56" s="363">
        <v>0.61520000000000152</v>
      </c>
      <c r="P56" s="363">
        <v>0.64529999999999887</v>
      </c>
      <c r="Q56" s="363">
        <v>0.68149999999999977</v>
      </c>
      <c r="R56" s="363">
        <v>0.72449999999999903</v>
      </c>
      <c r="S56" s="364">
        <v>0.44543125000000039</v>
      </c>
      <c r="T56" s="549">
        <v>0</v>
      </c>
    </row>
    <row r="57" spans="1:20" ht="13.5" customHeight="1">
      <c r="A57" s="302">
        <v>75</v>
      </c>
      <c r="B57" s="365">
        <v>0.94694999999999996</v>
      </c>
      <c r="C57" s="371">
        <v>4.5099999999990814E-2</v>
      </c>
      <c r="D57" s="363">
        <v>0.2173000000000016</v>
      </c>
      <c r="E57" s="363">
        <v>0.29959999999999809</v>
      </c>
      <c r="F57" s="363">
        <v>0.34339999999999549</v>
      </c>
      <c r="G57" s="363">
        <v>0.37120000000000175</v>
      </c>
      <c r="H57" s="363">
        <v>0.39209999999999923</v>
      </c>
      <c r="I57" s="363">
        <v>0.40899999999999892</v>
      </c>
      <c r="J57" s="363">
        <v>0.42370000000000019</v>
      </c>
      <c r="K57" s="363">
        <v>0.43740000000000023</v>
      </c>
      <c r="L57" s="363">
        <v>0.45230000000000103</v>
      </c>
      <c r="M57" s="363">
        <v>0.46519999999999939</v>
      </c>
      <c r="N57" s="363">
        <v>0.48110000000000142</v>
      </c>
      <c r="O57" s="363">
        <v>0.49899999999999878</v>
      </c>
      <c r="P57" s="363">
        <v>0.51859999999999928</v>
      </c>
      <c r="Q57" s="363">
        <v>0.54299999999999926</v>
      </c>
      <c r="R57" s="363">
        <v>0.57169999999999987</v>
      </c>
      <c r="S57" s="364">
        <v>0.40435624999999908</v>
      </c>
      <c r="T57" s="549">
        <v>0</v>
      </c>
    </row>
    <row r="58" spans="1:20" ht="13.5" customHeight="1">
      <c r="A58" s="302">
        <v>82</v>
      </c>
      <c r="B58" s="365">
        <v>0.95302000000000009</v>
      </c>
      <c r="C58" s="363">
        <v>0.18780000000000285</v>
      </c>
      <c r="D58" s="363">
        <v>0.2605000000000004</v>
      </c>
      <c r="E58" s="363">
        <v>0.28539999999999921</v>
      </c>
      <c r="F58" s="363">
        <v>0.29390000000000072</v>
      </c>
      <c r="G58" s="363">
        <v>0.30059999999999931</v>
      </c>
      <c r="H58" s="363">
        <v>0.30549999999999855</v>
      </c>
      <c r="I58" s="363">
        <v>0.31180000000000163</v>
      </c>
      <c r="J58" s="363">
        <v>0.3160000000000025</v>
      </c>
      <c r="K58" s="363">
        <v>0.32229999999999848</v>
      </c>
      <c r="L58" s="363">
        <v>0.32840000000000202</v>
      </c>
      <c r="M58" s="363">
        <v>0.33419999999999916</v>
      </c>
      <c r="N58" s="363">
        <v>0.34030000000000094</v>
      </c>
      <c r="O58" s="363">
        <v>0.34880000000000067</v>
      </c>
      <c r="P58" s="363">
        <v>0.35780000000000101</v>
      </c>
      <c r="Q58" s="363">
        <v>0.36939999999999884</v>
      </c>
      <c r="R58" s="363">
        <v>0.3852000000000011</v>
      </c>
      <c r="S58" s="364">
        <v>0.31549375000000046</v>
      </c>
      <c r="T58" s="549">
        <v>0</v>
      </c>
    </row>
    <row r="59" spans="1:20" ht="13.5" customHeight="1">
      <c r="A59" s="302">
        <v>90</v>
      </c>
      <c r="B59" s="365">
        <v>0.95799999999999996</v>
      </c>
      <c r="C59" s="363">
        <v>0.17280000000000229</v>
      </c>
      <c r="D59" s="363">
        <v>0.21589999999999776</v>
      </c>
      <c r="E59" s="363">
        <v>0.2286999999999999</v>
      </c>
      <c r="F59" s="363">
        <v>0.23379999999999868</v>
      </c>
      <c r="G59" s="363">
        <v>0.23809999999999931</v>
      </c>
      <c r="H59" s="363">
        <v>0.24120000000000275</v>
      </c>
      <c r="I59" s="363">
        <v>0.24510000000000076</v>
      </c>
      <c r="J59" s="363">
        <v>0.24929999999999986</v>
      </c>
      <c r="K59" s="363">
        <v>0.25290000000000035</v>
      </c>
      <c r="L59" s="363">
        <v>0.25660000000000061</v>
      </c>
      <c r="M59" s="363">
        <v>0.2607999999999997</v>
      </c>
      <c r="N59" s="363">
        <v>0.26479999999999926</v>
      </c>
      <c r="O59" s="363">
        <v>0.27099999999999902</v>
      </c>
      <c r="P59" s="363">
        <v>0.27650000000000041</v>
      </c>
      <c r="Q59" s="363">
        <v>0.28500000000000014</v>
      </c>
      <c r="R59" s="363">
        <v>0.29659999999999975</v>
      </c>
      <c r="S59" s="364">
        <v>0.24931875000000003</v>
      </c>
      <c r="T59" s="549">
        <v>0</v>
      </c>
    </row>
    <row r="60" spans="1:20" ht="13.5" customHeight="1">
      <c r="A60" s="302">
        <v>104</v>
      </c>
      <c r="B60" s="365">
        <v>0.96487999999999996</v>
      </c>
      <c r="C60" s="363">
        <v>0.14489999999999981</v>
      </c>
      <c r="D60" s="363">
        <v>0.18370000000000175</v>
      </c>
      <c r="E60" s="363">
        <v>0.19460000000000122</v>
      </c>
      <c r="F60" s="363">
        <v>0.19720000000000226</v>
      </c>
      <c r="G60" s="363">
        <v>0.19920000000000115</v>
      </c>
      <c r="H60" s="363">
        <v>0.20219999999999771</v>
      </c>
      <c r="I60" s="363">
        <v>0.20449999999999946</v>
      </c>
      <c r="J60" s="363">
        <v>0.20780000000000065</v>
      </c>
      <c r="K60" s="363">
        <v>0.21090000000000053</v>
      </c>
      <c r="L60" s="363">
        <v>0.21369999999999933</v>
      </c>
      <c r="M60" s="363">
        <v>0.21739999999999959</v>
      </c>
      <c r="N60" s="363">
        <v>0.22090000000000032</v>
      </c>
      <c r="O60" s="363">
        <v>0.22560000000000002</v>
      </c>
      <c r="P60" s="363">
        <v>0.23129999999999917</v>
      </c>
      <c r="Q60" s="363">
        <v>0.23709999999999987</v>
      </c>
      <c r="R60" s="363">
        <v>0.24629999999999974</v>
      </c>
      <c r="S60" s="364">
        <v>0.20858125000000016</v>
      </c>
      <c r="T60" s="549">
        <v>0</v>
      </c>
    </row>
    <row r="61" spans="1:20" ht="13.5" customHeight="1">
      <c r="A61" s="302">
        <v>110</v>
      </c>
      <c r="B61" s="365">
        <v>0.96601999999999999</v>
      </c>
      <c r="C61" s="371">
        <v>2.0099999999999341E-2</v>
      </c>
      <c r="D61" s="363">
        <v>9.2799999999996885E-2</v>
      </c>
      <c r="E61" s="363">
        <v>0.12420000000000186</v>
      </c>
      <c r="F61" s="363">
        <v>0.14119999999999777</v>
      </c>
      <c r="G61" s="363">
        <v>0.15350000000000108</v>
      </c>
      <c r="H61" s="363">
        <v>0.16250000000000142</v>
      </c>
      <c r="I61" s="363">
        <v>0.1722999999999999</v>
      </c>
      <c r="J61" s="363">
        <v>0.17970000000000041</v>
      </c>
      <c r="K61" s="363">
        <v>0.1877999999999993</v>
      </c>
      <c r="L61" s="363">
        <v>0.19650000000000034</v>
      </c>
      <c r="M61" s="363">
        <v>0.20320000000000249</v>
      </c>
      <c r="N61" s="363">
        <v>0.21099999999999852</v>
      </c>
      <c r="O61" s="363">
        <v>0.22059999999999746</v>
      </c>
      <c r="P61" s="363">
        <v>0.23019999999999996</v>
      </c>
      <c r="Q61" s="363">
        <v>0.24239999999999995</v>
      </c>
      <c r="R61" s="363">
        <v>0.25789999999999935</v>
      </c>
      <c r="S61" s="364">
        <v>0.17474374999999975</v>
      </c>
      <c r="T61" s="549">
        <v>0</v>
      </c>
    </row>
    <row r="62" spans="1:20" ht="13.5" customHeight="1">
      <c r="A62" s="302">
        <v>113</v>
      </c>
      <c r="B62" s="365">
        <v>0.96516999999999997</v>
      </c>
      <c r="C62" s="371">
        <v>-4.8799999999999955E-2</v>
      </c>
      <c r="D62" s="371">
        <v>-2.04000000000093E-2</v>
      </c>
      <c r="E62" s="371">
        <v>-8.0000000000097771E-3</v>
      </c>
      <c r="F62" s="371">
        <v>2.2000000000019782E-3</v>
      </c>
      <c r="G62" s="371">
        <v>1.3599999999996726E-2</v>
      </c>
      <c r="H62" s="371">
        <v>2.5599999999997181E-2</v>
      </c>
      <c r="I62" s="371">
        <v>3.9099999999997692E-2</v>
      </c>
      <c r="J62" s="363">
        <v>5.2199999999999136E-2</v>
      </c>
      <c r="K62" s="363">
        <v>6.5800000000002967E-2</v>
      </c>
      <c r="L62" s="363">
        <v>7.9999999999998295E-2</v>
      </c>
      <c r="M62" s="363">
        <v>9.2299999999994498E-2</v>
      </c>
      <c r="N62" s="363">
        <v>0.10729999999999507</v>
      </c>
      <c r="O62" s="363">
        <v>0.12300000000000466</v>
      </c>
      <c r="P62" s="363">
        <v>0.14029999999999987</v>
      </c>
      <c r="Q62" s="363">
        <v>0.15970000000000084</v>
      </c>
      <c r="R62" s="363">
        <v>0.18349999999999866</v>
      </c>
      <c r="S62" s="364">
        <v>6.2962499999998034E-2</v>
      </c>
      <c r="T62" s="549">
        <v>0</v>
      </c>
    </row>
    <row r="63" spans="1:20" ht="13.5" customHeight="1">
      <c r="A63" s="302">
        <v>115</v>
      </c>
      <c r="B63" s="365">
        <v>0.96404000000000001</v>
      </c>
      <c r="C63" s="371">
        <v>-0.859800000000007</v>
      </c>
      <c r="D63" s="371">
        <v>-0.1022999999999854</v>
      </c>
      <c r="E63" s="363">
        <v>0.37199999999999989</v>
      </c>
      <c r="F63" s="363">
        <v>0.65009999999999479</v>
      </c>
      <c r="G63" s="363">
        <v>0.82570000000001187</v>
      </c>
      <c r="H63" s="363">
        <v>0.93540000000000134</v>
      </c>
      <c r="I63" s="363">
        <v>1.0096999999999952</v>
      </c>
      <c r="J63" s="363">
        <v>1.056500000000014</v>
      </c>
      <c r="K63" s="363">
        <v>1.0923999999999978</v>
      </c>
      <c r="L63" s="363">
        <v>1.1195000000000022</v>
      </c>
      <c r="M63" s="363">
        <v>1.1407000000000025</v>
      </c>
      <c r="N63" s="363">
        <v>1.1624999999999943</v>
      </c>
      <c r="O63" s="363">
        <v>1.1859999999999999</v>
      </c>
      <c r="P63" s="363">
        <v>1.2088999999999999</v>
      </c>
      <c r="Q63" s="363">
        <v>1.2370999999999981</v>
      </c>
      <c r="R63" s="363">
        <v>1.2704000000000022</v>
      </c>
      <c r="S63" s="364">
        <v>0.83155000000000134</v>
      </c>
      <c r="T63" s="549">
        <v>0</v>
      </c>
    </row>
    <row r="64" spans="1:20" ht="13.5" customHeight="1" thickBot="1">
      <c r="A64" s="302">
        <v>116</v>
      </c>
      <c r="B64" s="366">
        <v>0.96325000000000005</v>
      </c>
      <c r="C64" s="372">
        <v>-0.48560000000000514</v>
      </c>
      <c r="D64" s="372">
        <v>-0.29859999999999332</v>
      </c>
      <c r="E64" s="372">
        <v>-0.14490000000000691</v>
      </c>
      <c r="F64" s="372">
        <v>-3.8100000000014234E-2</v>
      </c>
      <c r="G64" s="367">
        <v>5.1199999999994361E-2</v>
      </c>
      <c r="H64" s="367">
        <v>0.11710000000000775</v>
      </c>
      <c r="I64" s="367">
        <v>0.17029999999999745</v>
      </c>
      <c r="J64" s="367">
        <v>0.21590000000000487</v>
      </c>
      <c r="K64" s="367">
        <v>0.25199999999999534</v>
      </c>
      <c r="L64" s="367">
        <v>0.29269999999999641</v>
      </c>
      <c r="M64" s="367">
        <v>0.32499999999998863</v>
      </c>
      <c r="N64" s="367">
        <v>0.35769999999999413</v>
      </c>
      <c r="O64" s="367">
        <v>0.39270000000000493</v>
      </c>
      <c r="P64" s="367">
        <v>0.42629999999999768</v>
      </c>
      <c r="Q64" s="367">
        <v>0.46370000000000289</v>
      </c>
      <c r="R64" s="367">
        <v>0.5046999999999997</v>
      </c>
      <c r="S64" s="368">
        <v>0.16263124999999778</v>
      </c>
      <c r="T64" s="548">
        <v>0</v>
      </c>
    </row>
    <row r="66" spans="1:19" ht="15.5">
      <c r="A66" s="284" t="s">
        <v>150</v>
      </c>
    </row>
    <row r="67" spans="1:19" s="4" customFormat="1" ht="42.75" customHeight="1">
      <c r="A67" s="645" t="s">
        <v>299</v>
      </c>
      <c r="B67" s="645"/>
      <c r="C67" s="645"/>
      <c r="D67" s="645"/>
      <c r="E67" s="645"/>
      <c r="F67" s="645"/>
      <c r="G67" s="645"/>
      <c r="H67" s="645"/>
      <c r="I67" s="645"/>
      <c r="J67" s="645"/>
      <c r="K67" s="645"/>
      <c r="L67" s="645"/>
      <c r="M67" s="645"/>
      <c r="N67" s="645"/>
      <c r="O67" s="645"/>
      <c r="P67" s="645"/>
      <c r="Q67" s="645"/>
      <c r="R67" s="645"/>
      <c r="S67" s="645"/>
    </row>
    <row r="68" spans="1:19" s="4" customFormat="1" ht="56.5" customHeight="1">
      <c r="A68" s="645" t="s">
        <v>301</v>
      </c>
      <c r="B68" s="645"/>
      <c r="C68" s="645"/>
      <c r="D68" s="645"/>
      <c r="E68" s="645"/>
      <c r="F68" s="645"/>
      <c r="G68" s="645"/>
      <c r="H68" s="645"/>
      <c r="I68" s="645"/>
      <c r="J68" s="645"/>
      <c r="K68" s="645"/>
      <c r="L68" s="645"/>
      <c r="M68" s="645"/>
      <c r="N68" s="645"/>
      <c r="O68" s="645"/>
      <c r="P68" s="645"/>
      <c r="Q68" s="645"/>
      <c r="R68" s="645"/>
      <c r="S68" s="645"/>
    </row>
    <row r="69" spans="1:19" s="4" customFormat="1" ht="42.75" customHeight="1">
      <c r="A69" s="646" t="s">
        <v>297</v>
      </c>
      <c r="B69" s="646"/>
      <c r="C69" s="646"/>
      <c r="D69" s="646"/>
      <c r="E69" s="646"/>
      <c r="F69" s="646"/>
      <c r="G69" s="646"/>
      <c r="H69" s="646"/>
      <c r="I69" s="646"/>
      <c r="J69" s="646"/>
      <c r="K69" s="646"/>
      <c r="L69" s="646"/>
      <c r="M69" s="646"/>
      <c r="N69" s="646"/>
      <c r="O69" s="646"/>
      <c r="P69" s="646"/>
      <c r="Q69" s="646"/>
      <c r="R69" s="646"/>
      <c r="S69" s="646"/>
    </row>
    <row r="70" spans="1:19" ht="17.25" customHeight="1">
      <c r="A70" s="640" t="s">
        <v>194</v>
      </c>
      <c r="B70" s="640"/>
      <c r="C70" s="640"/>
      <c r="D70" s="640"/>
      <c r="E70" s="640"/>
      <c r="F70" s="640"/>
      <c r="G70" s="640"/>
      <c r="H70" s="640"/>
      <c r="I70" s="640"/>
      <c r="J70" s="640"/>
      <c r="K70" s="640"/>
      <c r="L70" s="640"/>
      <c r="M70" s="640"/>
      <c r="N70" s="640"/>
      <c r="O70" s="640"/>
      <c r="P70" s="640"/>
      <c r="Q70" s="640"/>
      <c r="R70" s="640"/>
      <c r="S70" s="640"/>
    </row>
    <row r="71" spans="1:19" ht="15.75" customHeight="1">
      <c r="A71" s="641" t="s">
        <v>195</v>
      </c>
      <c r="B71" s="641"/>
      <c r="C71" s="641"/>
      <c r="D71" s="641"/>
      <c r="E71" s="641"/>
      <c r="F71" s="641"/>
      <c r="G71" s="641"/>
      <c r="H71" s="641"/>
      <c r="I71" s="641"/>
      <c r="J71" s="641"/>
      <c r="K71" s="641"/>
      <c r="L71" s="641"/>
      <c r="M71" s="641"/>
      <c r="N71" s="641"/>
      <c r="O71" s="641"/>
      <c r="P71" s="641"/>
      <c r="Q71" s="641"/>
      <c r="R71" s="641"/>
      <c r="S71" s="641"/>
    </row>
    <row r="72" spans="1:19" ht="24" customHeight="1">
      <c r="A72" s="644" t="s">
        <v>300</v>
      </c>
      <c r="B72" s="644"/>
      <c r="C72" s="644"/>
      <c r="D72" s="644"/>
      <c r="E72" s="644"/>
      <c r="F72" s="644"/>
      <c r="G72" s="644"/>
      <c r="H72" s="644"/>
      <c r="I72" s="644"/>
      <c r="J72" s="644"/>
      <c r="K72" s="644"/>
      <c r="L72" s="644"/>
      <c r="M72" s="644"/>
      <c r="N72" s="644"/>
      <c r="O72" s="644"/>
      <c r="P72" s="644"/>
      <c r="Q72" s="644"/>
      <c r="R72" s="644"/>
      <c r="S72" s="644"/>
    </row>
  </sheetData>
  <mergeCells count="12">
    <mergeCell ref="A72:S72"/>
    <mergeCell ref="A67:S67"/>
    <mergeCell ref="A68:S68"/>
    <mergeCell ref="A69:S69"/>
    <mergeCell ref="A3:A4"/>
    <mergeCell ref="C3:S3"/>
    <mergeCell ref="B3:B4"/>
    <mergeCell ref="V3:AA3"/>
    <mergeCell ref="W4:AA4"/>
    <mergeCell ref="A70:S70"/>
    <mergeCell ref="A71:S71"/>
    <mergeCell ref="T3:T4"/>
  </mergeCells>
  <pageMargins left="0.7" right="0.7" top="0.75" bottom="0.75" header="0.3" footer="0.3"/>
  <pageSetup scale="4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rgb="FFFFC000"/>
    <pageSetUpPr fitToPage="1"/>
  </sheetPr>
  <dimension ref="A1:Y32"/>
  <sheetViews>
    <sheetView zoomScale="90" zoomScaleNormal="90" workbookViewId="0">
      <selection activeCell="B2" sqref="B2"/>
    </sheetView>
  </sheetViews>
  <sheetFormatPr defaultColWidth="9.1796875" defaultRowHeight="13"/>
  <cols>
    <col min="1" max="1" width="1.7265625" style="4" customWidth="1"/>
    <col min="2" max="4" width="6.7265625" style="4" customWidth="1"/>
    <col min="5" max="5" width="1.7265625" style="4" customWidth="1"/>
    <col min="6" max="8" width="6.7265625" style="4" customWidth="1"/>
    <col min="9" max="9" width="1.7265625" style="4" customWidth="1"/>
    <col min="10" max="12" width="6.7265625" style="4" customWidth="1"/>
    <col min="13" max="13" width="1.7265625" style="4" customWidth="1"/>
    <col min="14" max="16" width="6.7265625" style="4" customWidth="1"/>
    <col min="17" max="17" width="1.7265625" style="4" customWidth="1"/>
    <col min="18" max="20" width="6.7265625" style="4" customWidth="1"/>
    <col min="21" max="21" width="1.7265625" style="4" customWidth="1"/>
    <col min="22" max="24" width="6.7265625" style="4" customWidth="1"/>
    <col min="25" max="25" width="1.7265625" style="4" customWidth="1"/>
    <col min="26" max="16384" width="9.1796875" style="4"/>
  </cols>
  <sheetData>
    <row r="1" spans="1:25" s="26" customFormat="1" ht="15.5">
      <c r="A1" s="112"/>
      <c r="B1" s="41" t="s">
        <v>45</v>
      </c>
      <c r="C1" s="42"/>
      <c r="D1" s="42"/>
      <c r="E1" s="42"/>
      <c r="F1" s="42"/>
      <c r="G1" s="42"/>
      <c r="H1" s="42"/>
      <c r="I1" s="42"/>
      <c r="J1" s="42"/>
      <c r="K1" s="42"/>
      <c r="L1" s="42"/>
      <c r="M1" s="42"/>
      <c r="N1" s="42"/>
      <c r="O1" s="42"/>
      <c r="P1" s="42"/>
      <c r="Q1" s="42"/>
      <c r="R1" s="42"/>
      <c r="S1" s="42"/>
      <c r="T1" s="42"/>
      <c r="U1" s="42"/>
      <c r="V1" s="42"/>
      <c r="W1" s="42"/>
      <c r="X1" s="42"/>
      <c r="Y1" s="416"/>
    </row>
    <row r="2" spans="1:25" s="26" customFormat="1" ht="14.5" thickBot="1">
      <c r="A2" s="416"/>
      <c r="B2" s="416"/>
      <c r="C2" s="416"/>
      <c r="D2" s="416"/>
      <c r="E2" s="416"/>
      <c r="F2" s="416"/>
      <c r="G2" s="416"/>
      <c r="H2" s="416"/>
      <c r="I2" s="416"/>
      <c r="J2" s="416"/>
      <c r="K2" s="416"/>
      <c r="L2" s="416"/>
      <c r="M2" s="416"/>
      <c r="N2" s="416"/>
      <c r="O2" s="416"/>
      <c r="P2" s="416"/>
      <c r="Q2" s="416"/>
      <c r="R2" s="416"/>
      <c r="S2" s="416"/>
      <c r="T2" s="416"/>
      <c r="U2" s="416"/>
      <c r="V2" s="416"/>
      <c r="W2" s="416"/>
      <c r="X2" s="416"/>
      <c r="Y2" s="416"/>
    </row>
    <row r="3" spans="1:25" ht="18">
      <c r="A3" s="413"/>
      <c r="B3" s="675">
        <v>1</v>
      </c>
      <c r="C3" s="676"/>
      <c r="D3" s="677"/>
      <c r="E3" s="413"/>
      <c r="F3" s="678">
        <v>2</v>
      </c>
      <c r="G3" s="679"/>
      <c r="H3" s="680"/>
      <c r="I3" s="413"/>
      <c r="J3" s="666">
        <v>3</v>
      </c>
      <c r="K3" s="667"/>
      <c r="L3" s="668"/>
      <c r="M3" s="413"/>
      <c r="N3" s="669">
        <v>4</v>
      </c>
      <c r="O3" s="670"/>
      <c r="P3" s="671"/>
      <c r="Q3" s="413"/>
      <c r="R3" s="672">
        <v>5</v>
      </c>
      <c r="S3" s="673"/>
      <c r="T3" s="674"/>
      <c r="U3" s="413"/>
      <c r="V3" s="660">
        <v>6</v>
      </c>
      <c r="W3" s="661"/>
      <c r="X3" s="662"/>
      <c r="Y3" s="413"/>
    </row>
    <row r="4" spans="1:25">
      <c r="A4" s="413"/>
      <c r="B4" s="20" t="s">
        <v>11</v>
      </c>
      <c r="C4" s="12" t="s">
        <v>40</v>
      </c>
      <c r="D4" s="47" t="s">
        <v>39</v>
      </c>
      <c r="E4" s="413"/>
      <c r="F4" s="20" t="s">
        <v>11</v>
      </c>
      <c r="G4" s="12" t="s">
        <v>41</v>
      </c>
      <c r="H4" s="47" t="s">
        <v>42</v>
      </c>
      <c r="I4" s="413"/>
      <c r="J4" s="20" t="s">
        <v>11</v>
      </c>
      <c r="K4" s="12" t="s">
        <v>43</v>
      </c>
      <c r="L4" s="47" t="s">
        <v>44</v>
      </c>
      <c r="M4" s="413"/>
      <c r="N4" s="20" t="s">
        <v>11</v>
      </c>
      <c r="O4" s="12" t="s">
        <v>46</v>
      </c>
      <c r="P4" s="47" t="s">
        <v>47</v>
      </c>
      <c r="Q4" s="413"/>
      <c r="R4" s="20" t="s">
        <v>11</v>
      </c>
      <c r="S4" s="12" t="s">
        <v>49</v>
      </c>
      <c r="T4" s="47" t="s">
        <v>50</v>
      </c>
      <c r="U4" s="413"/>
      <c r="V4" s="20" t="s">
        <v>11</v>
      </c>
      <c r="W4" s="12" t="s">
        <v>51</v>
      </c>
      <c r="X4" s="47" t="s">
        <v>52</v>
      </c>
      <c r="Y4" s="413"/>
    </row>
    <row r="5" spans="1:25" ht="13.5" thickBot="1">
      <c r="A5" s="413"/>
      <c r="B5" s="21" t="s">
        <v>2</v>
      </c>
      <c r="C5" s="13" t="s">
        <v>0</v>
      </c>
      <c r="D5" s="48" t="s">
        <v>1</v>
      </c>
      <c r="E5" s="413"/>
      <c r="F5" s="21" t="s">
        <v>2</v>
      </c>
      <c r="G5" s="13" t="s">
        <v>0</v>
      </c>
      <c r="H5" s="48" t="s">
        <v>1</v>
      </c>
      <c r="I5" s="413"/>
      <c r="J5" s="21" t="s">
        <v>2</v>
      </c>
      <c r="K5" s="13" t="s">
        <v>0</v>
      </c>
      <c r="L5" s="48" t="s">
        <v>1</v>
      </c>
      <c r="M5" s="413"/>
      <c r="N5" s="21" t="s">
        <v>2</v>
      </c>
      <c r="O5" s="13" t="s">
        <v>0</v>
      </c>
      <c r="P5" s="48" t="s">
        <v>1</v>
      </c>
      <c r="Q5" s="413"/>
      <c r="R5" s="21" t="s">
        <v>2</v>
      </c>
      <c r="S5" s="13" t="s">
        <v>0</v>
      </c>
      <c r="T5" s="48" t="s">
        <v>1</v>
      </c>
      <c r="U5" s="413"/>
      <c r="V5" s="21" t="s">
        <v>2</v>
      </c>
      <c r="W5" s="13" t="s">
        <v>0</v>
      </c>
      <c r="X5" s="48" t="s">
        <v>1</v>
      </c>
      <c r="Y5" s="413"/>
    </row>
    <row r="6" spans="1:25" s="5" customFormat="1" ht="13.5" customHeight="1" thickTop="1">
      <c r="A6" s="414"/>
      <c r="B6" s="116">
        <v>1</v>
      </c>
      <c r="C6" s="566">
        <v>34</v>
      </c>
      <c r="D6" s="567">
        <f>3.5*LNA_20K_Derate_Factor</f>
        <v>3.9549999999999996</v>
      </c>
      <c r="E6" s="414"/>
      <c r="F6" s="116">
        <v>3</v>
      </c>
      <c r="G6" s="572">
        <v>37.200000000000003</v>
      </c>
      <c r="H6" s="526">
        <f>5.5*LNA_20K_Derate_Factor</f>
        <v>6.2149999999999999</v>
      </c>
      <c r="I6" s="414"/>
      <c r="J6" s="116">
        <v>12</v>
      </c>
      <c r="K6" s="15">
        <v>35.200000000000003</v>
      </c>
      <c r="L6" s="108">
        <v>5</v>
      </c>
      <c r="M6" s="414"/>
      <c r="N6" s="22">
        <v>20</v>
      </c>
      <c r="O6" s="558">
        <v>29.4</v>
      </c>
      <c r="P6" s="559">
        <f>6.6*LNA_20K_Derate_Factor</f>
        <v>7.4579999999999993</v>
      </c>
      <c r="Q6" s="414"/>
      <c r="R6" s="22">
        <v>30</v>
      </c>
      <c r="S6" s="572">
        <v>34.200000000000003</v>
      </c>
      <c r="T6" s="526">
        <f>8*LNA_20K_Derate_Factor</f>
        <v>9.0399999999999991</v>
      </c>
      <c r="U6" s="414"/>
      <c r="V6" s="22">
        <v>70</v>
      </c>
      <c r="W6" s="572">
        <v>25.5</v>
      </c>
      <c r="X6" s="526">
        <v>19</v>
      </c>
      <c r="Y6" s="414"/>
    </row>
    <row r="7" spans="1:25" s="5" customFormat="1" ht="12.75" customHeight="1">
      <c r="A7" s="414"/>
      <c r="B7" s="117">
        <v>1.2</v>
      </c>
      <c r="C7" s="568">
        <v>35.5</v>
      </c>
      <c r="D7" s="569">
        <f>2.5*LNA_20K_Derate_Factor</f>
        <v>2.8249999999999997</v>
      </c>
      <c r="E7" s="414"/>
      <c r="F7" s="117">
        <v>3.5</v>
      </c>
      <c r="G7" s="568">
        <v>38.1</v>
      </c>
      <c r="H7" s="569">
        <f>4*LNA_20K_Derate_Factor</f>
        <v>4.5199999999999996</v>
      </c>
      <c r="I7" s="414"/>
      <c r="J7" s="117">
        <v>12.5</v>
      </c>
      <c r="K7" s="6">
        <v>35</v>
      </c>
      <c r="L7" s="109">
        <v>5</v>
      </c>
      <c r="M7" s="414"/>
      <c r="N7" s="23">
        <v>21</v>
      </c>
      <c r="O7" s="560">
        <v>29.3</v>
      </c>
      <c r="P7" s="561">
        <f>6.4*LNA_20K_Derate_Factor</f>
        <v>7.2319999999999993</v>
      </c>
      <c r="Q7" s="414"/>
      <c r="R7" s="23">
        <v>31</v>
      </c>
      <c r="S7" s="568">
        <v>34.799999999999997</v>
      </c>
      <c r="T7" s="569">
        <f>7.2*LNA_20K_Derate_Factor</f>
        <v>8.1359999999999992</v>
      </c>
      <c r="U7" s="414"/>
      <c r="V7" s="23">
        <v>72</v>
      </c>
      <c r="W7" s="568">
        <v>26.5</v>
      </c>
      <c r="X7" s="569">
        <v>16</v>
      </c>
      <c r="Y7" s="414"/>
    </row>
    <row r="8" spans="1:25" s="5" customFormat="1" ht="13.5" customHeight="1">
      <c r="A8" s="414"/>
      <c r="B8" s="117">
        <v>1.4</v>
      </c>
      <c r="C8" s="568">
        <v>36.5</v>
      </c>
      <c r="D8" s="569">
        <f>1.7*LNA_20K_Derate_Factor</f>
        <v>1.9209999999999998</v>
      </c>
      <c r="E8" s="414"/>
      <c r="F8" s="117">
        <v>4</v>
      </c>
      <c r="G8" s="568">
        <v>38</v>
      </c>
      <c r="H8" s="569">
        <f>3.3*LNA_20K_Derate_Factor</f>
        <v>3.7289999999999996</v>
      </c>
      <c r="I8" s="414"/>
      <c r="J8" s="117">
        <v>13</v>
      </c>
      <c r="K8" s="6">
        <v>34.6</v>
      </c>
      <c r="L8" s="109">
        <v>5</v>
      </c>
      <c r="M8" s="414"/>
      <c r="N8" s="23">
        <v>22</v>
      </c>
      <c r="O8" s="560">
        <v>29.3</v>
      </c>
      <c r="P8" s="561">
        <f>7.2*LNA_20K_Derate_Factor</f>
        <v>8.1359999999999992</v>
      </c>
      <c r="Q8" s="414"/>
      <c r="R8" s="23">
        <v>32</v>
      </c>
      <c r="S8" s="568">
        <v>34.799999999999997</v>
      </c>
      <c r="T8" s="569">
        <f>7.2*LNA_20K_Derate_Factor</f>
        <v>8.1359999999999992</v>
      </c>
      <c r="U8" s="414"/>
      <c r="V8" s="23">
        <v>74</v>
      </c>
      <c r="W8" s="568">
        <v>27</v>
      </c>
      <c r="X8" s="569">
        <v>14.5</v>
      </c>
      <c r="Y8" s="414"/>
    </row>
    <row r="9" spans="1:25" s="5" customFormat="1" ht="12.75" customHeight="1">
      <c r="A9" s="414"/>
      <c r="B9" s="117">
        <v>1.6</v>
      </c>
      <c r="C9" s="568">
        <v>36.5</v>
      </c>
      <c r="D9" s="569">
        <f>2.3*LNA_20K_Derate_Factor</f>
        <v>2.5989999999999998</v>
      </c>
      <c r="E9" s="414"/>
      <c r="F9" s="117">
        <v>4.5</v>
      </c>
      <c r="G9" s="568">
        <v>37.4</v>
      </c>
      <c r="H9" s="569">
        <f>2.6*LNA_20K_Derate_Factor</f>
        <v>2.9379999999999997</v>
      </c>
      <c r="I9" s="414"/>
      <c r="J9" s="117">
        <v>13.5</v>
      </c>
      <c r="K9" s="6">
        <v>34.200000000000003</v>
      </c>
      <c r="L9" s="109">
        <v>5.3</v>
      </c>
      <c r="M9" s="414"/>
      <c r="N9" s="23">
        <v>23</v>
      </c>
      <c r="O9" s="560">
        <v>29.8</v>
      </c>
      <c r="P9" s="561">
        <f>7.6*LNA_20K_Derate_Factor</f>
        <v>8.5879999999999992</v>
      </c>
      <c r="Q9" s="414"/>
      <c r="R9" s="23">
        <v>33</v>
      </c>
      <c r="S9" s="568">
        <v>35.299999999999997</v>
      </c>
      <c r="T9" s="569">
        <f>7.6*LNA_20K_Derate_Factor</f>
        <v>8.5879999999999992</v>
      </c>
      <c r="U9" s="414"/>
      <c r="V9" s="23">
        <v>76</v>
      </c>
      <c r="W9" s="568">
        <v>28.5</v>
      </c>
      <c r="X9" s="569">
        <v>15</v>
      </c>
      <c r="Y9" s="414"/>
    </row>
    <row r="10" spans="1:25" s="5" customFormat="1" ht="12.75" customHeight="1">
      <c r="A10" s="414"/>
      <c r="B10" s="117">
        <v>1.8</v>
      </c>
      <c r="C10" s="568">
        <v>36</v>
      </c>
      <c r="D10" s="569">
        <f>2.3*LNA_20K_Derate_Factor</f>
        <v>2.5989999999999998</v>
      </c>
      <c r="E10" s="414"/>
      <c r="F10" s="117">
        <v>5</v>
      </c>
      <c r="G10" s="568">
        <v>37.4</v>
      </c>
      <c r="H10" s="569">
        <f>2.4*LNA_20K_Derate_Factor</f>
        <v>2.7119999999999997</v>
      </c>
      <c r="I10" s="414"/>
      <c r="J10" s="117">
        <v>14</v>
      </c>
      <c r="K10" s="6">
        <v>34.6</v>
      </c>
      <c r="L10" s="109">
        <v>6</v>
      </c>
      <c r="M10" s="414"/>
      <c r="N10" s="23">
        <v>24</v>
      </c>
      <c r="O10" s="560">
        <v>29.7</v>
      </c>
      <c r="P10" s="561">
        <f>7.2*LNA_20K_Derate_Factor</f>
        <v>8.1359999999999992</v>
      </c>
      <c r="Q10" s="414"/>
      <c r="R10" s="23">
        <v>34</v>
      </c>
      <c r="S10" s="568">
        <v>35.6</v>
      </c>
      <c r="T10" s="569">
        <f>8*LNA_20K_Derate_Factor</f>
        <v>9.0399999999999991</v>
      </c>
      <c r="U10" s="414"/>
      <c r="V10" s="23">
        <v>78</v>
      </c>
      <c r="W10" s="568">
        <v>28.5</v>
      </c>
      <c r="X10" s="569">
        <v>16</v>
      </c>
      <c r="Y10" s="414"/>
    </row>
    <row r="11" spans="1:25" s="5" customFormat="1" ht="13.5" customHeight="1">
      <c r="A11" s="414"/>
      <c r="B11" s="117">
        <v>2</v>
      </c>
      <c r="C11" s="568">
        <v>35</v>
      </c>
      <c r="D11" s="569">
        <f>2*LNA_20K_Derate_Factor</f>
        <v>2.2599999999999998</v>
      </c>
      <c r="E11" s="414"/>
      <c r="F11" s="117">
        <v>5.5</v>
      </c>
      <c r="G11" s="568">
        <v>37.299999999999997</v>
      </c>
      <c r="H11" s="569">
        <f>2.4*LNA_20K_Derate_Factor</f>
        <v>2.7119999999999997</v>
      </c>
      <c r="I11" s="414"/>
      <c r="J11" s="117">
        <v>14.5</v>
      </c>
      <c r="K11" s="6">
        <v>35</v>
      </c>
      <c r="L11" s="109">
        <v>6.5</v>
      </c>
      <c r="M11" s="414"/>
      <c r="N11" s="23">
        <v>25</v>
      </c>
      <c r="O11" s="560">
        <v>29.2</v>
      </c>
      <c r="P11" s="561">
        <f>8.2*LNA_20K_Derate_Factor</f>
        <v>9.2659999999999982</v>
      </c>
      <c r="Q11" s="414"/>
      <c r="R11" s="23">
        <v>35</v>
      </c>
      <c r="S11" s="568">
        <v>35.6</v>
      </c>
      <c r="T11" s="569">
        <f>8.6*LNA_20K_Derate_Factor</f>
        <v>9.7179999999999982</v>
      </c>
      <c r="U11" s="414"/>
      <c r="V11" s="23">
        <v>80</v>
      </c>
      <c r="W11" s="568">
        <v>27</v>
      </c>
      <c r="X11" s="569">
        <v>16.5</v>
      </c>
      <c r="Y11" s="414"/>
    </row>
    <row r="12" spans="1:25" ht="12.75" customHeight="1">
      <c r="A12" s="413"/>
      <c r="B12" s="117">
        <v>2.2000000000000002</v>
      </c>
      <c r="C12" s="568">
        <v>34.5</v>
      </c>
      <c r="D12" s="569">
        <f>2*LNA_20K_Derate_Factor</f>
        <v>2.2599999999999998</v>
      </c>
      <c r="E12" s="413"/>
      <c r="F12" s="117">
        <v>6</v>
      </c>
      <c r="G12" s="568">
        <v>37.200000000000003</v>
      </c>
      <c r="H12" s="569">
        <f>2.5*LNA_20K_Derate_Factor</f>
        <v>2.8249999999999997</v>
      </c>
      <c r="I12" s="413"/>
      <c r="J12" s="117">
        <v>15</v>
      </c>
      <c r="K12" s="6">
        <v>35</v>
      </c>
      <c r="L12" s="109">
        <v>7</v>
      </c>
      <c r="M12" s="413"/>
      <c r="N12" s="23">
        <v>26</v>
      </c>
      <c r="O12" s="560">
        <v>29.6</v>
      </c>
      <c r="P12" s="561">
        <f>8.2*LNA_20K_Derate_Factor</f>
        <v>9.2659999999999982</v>
      </c>
      <c r="Q12" s="413"/>
      <c r="R12" s="23">
        <v>36</v>
      </c>
      <c r="S12" s="568">
        <v>36</v>
      </c>
      <c r="T12" s="569">
        <f>8.6*LNA_20K_Derate_Factor</f>
        <v>9.7179999999999982</v>
      </c>
      <c r="U12" s="413"/>
      <c r="V12" s="23">
        <v>84</v>
      </c>
      <c r="W12" s="568">
        <v>27.5</v>
      </c>
      <c r="X12" s="569">
        <v>18</v>
      </c>
      <c r="Y12" s="413"/>
    </row>
    <row r="13" spans="1:25" ht="12.75" customHeight="1">
      <c r="A13" s="413"/>
      <c r="B13" s="117">
        <v>2.4</v>
      </c>
      <c r="C13" s="568">
        <v>34</v>
      </c>
      <c r="D13" s="569">
        <f>1.6*LNA_20K_Derate_Factor</f>
        <v>1.8079999999999998</v>
      </c>
      <c r="E13" s="413"/>
      <c r="F13" s="117">
        <v>6.5</v>
      </c>
      <c r="G13" s="568">
        <v>37.1</v>
      </c>
      <c r="H13" s="569">
        <f>2.4*LNA_20K_Derate_Factor</f>
        <v>2.7119999999999997</v>
      </c>
      <c r="I13" s="413"/>
      <c r="J13" s="117">
        <v>16</v>
      </c>
      <c r="K13" s="6">
        <v>34.6</v>
      </c>
      <c r="L13" s="109">
        <v>8</v>
      </c>
      <c r="M13" s="413"/>
      <c r="N13" s="23">
        <v>27</v>
      </c>
      <c r="O13" s="562">
        <v>27.6</v>
      </c>
      <c r="P13" s="563">
        <f>5.7*LNA_20K_Derate_Factor</f>
        <v>6.4409999999999998</v>
      </c>
      <c r="Q13" s="413"/>
      <c r="R13" s="23">
        <v>37</v>
      </c>
      <c r="S13" s="568">
        <v>36.200000000000003</v>
      </c>
      <c r="T13" s="569">
        <f>8.8*LNA_20K_Derate_Factor</f>
        <v>9.9439999999999991</v>
      </c>
      <c r="U13" s="413"/>
      <c r="V13" s="23">
        <v>88</v>
      </c>
      <c r="W13" s="568">
        <v>25</v>
      </c>
      <c r="X13" s="569">
        <v>20</v>
      </c>
      <c r="Y13" s="413"/>
    </row>
    <row r="14" spans="1:25" ht="13.5" customHeight="1">
      <c r="A14" s="413"/>
      <c r="B14" s="117">
        <v>2.6</v>
      </c>
      <c r="C14" s="568">
        <v>33.5</v>
      </c>
      <c r="D14" s="569">
        <f>1.1*LNA_20K_Derate_Factor</f>
        <v>1.2429999999999999</v>
      </c>
      <c r="E14" s="413"/>
      <c r="F14" s="117">
        <v>7</v>
      </c>
      <c r="G14" s="568">
        <v>37.200000000000003</v>
      </c>
      <c r="H14" s="569">
        <f>2.4*LNA_20K_Derate_Factor</f>
        <v>2.7119999999999997</v>
      </c>
      <c r="I14" s="413"/>
      <c r="J14" s="117">
        <v>17</v>
      </c>
      <c r="K14" s="6">
        <v>34</v>
      </c>
      <c r="L14" s="109">
        <v>7.5</v>
      </c>
      <c r="M14" s="413"/>
      <c r="N14" s="23">
        <v>28</v>
      </c>
      <c r="O14" s="562">
        <v>27.6</v>
      </c>
      <c r="P14" s="563">
        <f>5.6*LNA_20K_Derate_Factor</f>
        <v>6.3279999999999994</v>
      </c>
      <c r="Q14" s="413"/>
      <c r="R14" s="23">
        <v>38</v>
      </c>
      <c r="S14" s="568">
        <v>36</v>
      </c>
      <c r="T14" s="569">
        <f>8.6*LNA_20K_Derate_Factor</f>
        <v>9.7179999999999982</v>
      </c>
      <c r="U14" s="413"/>
      <c r="V14" s="23">
        <v>92</v>
      </c>
      <c r="W14" s="568">
        <v>24</v>
      </c>
      <c r="X14" s="569">
        <v>23</v>
      </c>
      <c r="Y14" s="413"/>
    </row>
    <row r="15" spans="1:25" ht="12.75" customHeight="1">
      <c r="A15" s="413"/>
      <c r="B15" s="117">
        <v>2.8</v>
      </c>
      <c r="C15" s="568">
        <v>33.5</v>
      </c>
      <c r="D15" s="569">
        <f>1*LNA_20K_Derate_Factor</f>
        <v>1.1299999999999999</v>
      </c>
      <c r="E15" s="413"/>
      <c r="F15" s="117">
        <v>7.5</v>
      </c>
      <c r="G15" s="568">
        <v>37.4</v>
      </c>
      <c r="H15" s="569">
        <f>2.4*LNA_20K_Derate_Factor</f>
        <v>2.7119999999999997</v>
      </c>
      <c r="I15" s="413"/>
      <c r="J15" s="117">
        <v>18</v>
      </c>
      <c r="K15" s="6">
        <v>34.6</v>
      </c>
      <c r="L15" s="109">
        <v>6</v>
      </c>
      <c r="M15" s="413"/>
      <c r="N15" s="23">
        <v>29</v>
      </c>
      <c r="O15" s="562">
        <v>28</v>
      </c>
      <c r="P15" s="563">
        <f>5.9*LNA_20K_Derate_Factor</f>
        <v>6.6669999999999998</v>
      </c>
      <c r="Q15" s="413"/>
      <c r="R15" s="23">
        <v>40</v>
      </c>
      <c r="S15" s="568">
        <v>36.5</v>
      </c>
      <c r="T15" s="569">
        <f>9*LNA_20K_Derate_Factor</f>
        <v>10.169999999999998</v>
      </c>
      <c r="U15" s="413"/>
      <c r="V15" s="23">
        <v>96</v>
      </c>
      <c r="W15" s="568">
        <v>23.5</v>
      </c>
      <c r="X15" s="569">
        <v>25</v>
      </c>
      <c r="Y15" s="413"/>
    </row>
    <row r="16" spans="1:25" ht="12.75" customHeight="1">
      <c r="A16" s="413"/>
      <c r="B16" s="117">
        <v>3</v>
      </c>
      <c r="C16" s="568">
        <v>33.5</v>
      </c>
      <c r="D16" s="569">
        <f>0.8*LNA_20K_Derate_Factor</f>
        <v>0.90399999999999991</v>
      </c>
      <c r="E16" s="413"/>
      <c r="F16" s="117">
        <v>8</v>
      </c>
      <c r="G16" s="568">
        <v>37.299999999999997</v>
      </c>
      <c r="H16" s="569">
        <f>2.5*LNA_20K_Derate_Factor</f>
        <v>2.8249999999999997</v>
      </c>
      <c r="I16" s="413"/>
      <c r="J16" s="117">
        <v>19</v>
      </c>
      <c r="K16" s="6">
        <v>35</v>
      </c>
      <c r="L16" s="109">
        <v>6</v>
      </c>
      <c r="M16" s="413"/>
      <c r="N16" s="23">
        <v>30</v>
      </c>
      <c r="O16" s="562">
        <v>28</v>
      </c>
      <c r="P16" s="563">
        <f>6*LNA_20K_Derate_Factor</f>
        <v>6.7799999999999994</v>
      </c>
      <c r="Q16" s="413"/>
      <c r="R16" s="23">
        <v>42</v>
      </c>
      <c r="S16" s="568">
        <v>36.4</v>
      </c>
      <c r="T16" s="569">
        <f>10*LNA_20K_Derate_Factor</f>
        <v>11.299999999999999</v>
      </c>
      <c r="U16" s="413"/>
      <c r="V16" s="23">
        <v>100</v>
      </c>
      <c r="W16" s="568">
        <v>21</v>
      </c>
      <c r="X16" s="569">
        <v>26</v>
      </c>
      <c r="Y16" s="413"/>
    </row>
    <row r="17" spans="1:25" ht="13.5" customHeight="1">
      <c r="A17" s="413"/>
      <c r="B17" s="117">
        <v>3.2</v>
      </c>
      <c r="C17" s="568">
        <v>34</v>
      </c>
      <c r="D17" s="569">
        <f>0.9*LNA_20K_Derate_Factor</f>
        <v>1.0169999999999999</v>
      </c>
      <c r="E17" s="413"/>
      <c r="F17" s="117">
        <v>9</v>
      </c>
      <c r="G17" s="568">
        <v>37.200000000000003</v>
      </c>
      <c r="H17" s="569">
        <f>2.9*LNA_20K_Derate_Factor</f>
        <v>3.2769999999999997</v>
      </c>
      <c r="I17" s="413"/>
      <c r="J17" s="117">
        <v>20</v>
      </c>
      <c r="K17" s="6">
        <v>34.6</v>
      </c>
      <c r="L17" s="109">
        <v>8</v>
      </c>
      <c r="M17" s="413"/>
      <c r="N17" s="23">
        <v>31</v>
      </c>
      <c r="O17" s="562">
        <v>27.7</v>
      </c>
      <c r="P17" s="563">
        <f>6.1*LNA_20K_Derate_Factor</f>
        <v>6.8929999999999989</v>
      </c>
      <c r="Q17" s="413"/>
      <c r="R17" s="23">
        <v>44</v>
      </c>
      <c r="S17" s="568">
        <v>35.799999999999997</v>
      </c>
      <c r="T17" s="569">
        <f>11.7*LNA_20K_Derate_Factor</f>
        <v>13.220999999999998</v>
      </c>
      <c r="U17" s="413"/>
      <c r="V17" s="23">
        <v>104</v>
      </c>
      <c r="W17" s="568">
        <v>21.5</v>
      </c>
      <c r="X17" s="569">
        <v>26.5</v>
      </c>
      <c r="Y17" s="413"/>
    </row>
    <row r="18" spans="1:25" ht="12.75" customHeight="1">
      <c r="A18" s="413"/>
      <c r="B18" s="117">
        <v>3.4</v>
      </c>
      <c r="C18" s="568">
        <v>34.5</v>
      </c>
      <c r="D18" s="569">
        <f>1.2*LNA_20K_Derate_Factor</f>
        <v>1.3559999999999999</v>
      </c>
      <c r="E18" s="413"/>
      <c r="F18" s="117">
        <v>10</v>
      </c>
      <c r="G18" s="568">
        <v>37.5</v>
      </c>
      <c r="H18" s="569">
        <f>2.8*LNA_20K_Derate_Factor</f>
        <v>3.1639999999999997</v>
      </c>
      <c r="I18" s="413"/>
      <c r="J18" s="117">
        <v>21</v>
      </c>
      <c r="K18" s="6">
        <v>34</v>
      </c>
      <c r="L18" s="109">
        <v>9.5</v>
      </c>
      <c r="M18" s="413"/>
      <c r="N18" s="23">
        <v>32</v>
      </c>
      <c r="O18" s="562">
        <v>27.6</v>
      </c>
      <c r="P18" s="563">
        <f>6.2*LNA_20K_Derate_Factor</f>
        <v>7.0059999999999993</v>
      </c>
      <c r="Q18" s="413"/>
      <c r="R18" s="23">
        <v>46</v>
      </c>
      <c r="S18" s="568">
        <v>35.6</v>
      </c>
      <c r="T18" s="569">
        <f>13.2*LNA_20K_Derate_Factor</f>
        <v>14.915999999999999</v>
      </c>
      <c r="U18" s="413"/>
      <c r="V18" s="23">
        <v>108</v>
      </c>
      <c r="W18" s="568">
        <v>21.5</v>
      </c>
      <c r="X18" s="569">
        <v>26.5</v>
      </c>
      <c r="Y18" s="413"/>
    </row>
    <row r="19" spans="1:25" ht="12.75" customHeight="1">
      <c r="A19" s="413"/>
      <c r="B19" s="117">
        <v>3.6</v>
      </c>
      <c r="C19" s="568">
        <v>34.5</v>
      </c>
      <c r="D19" s="569">
        <f>1.4*LNA_20K_Derate_Factor</f>
        <v>1.5819999999999999</v>
      </c>
      <c r="E19" s="413"/>
      <c r="F19" s="117">
        <v>11</v>
      </c>
      <c r="G19" s="568">
        <v>37.5</v>
      </c>
      <c r="H19" s="569">
        <f>3.1*LNA_20K_Derate_Factor</f>
        <v>3.5029999999999997</v>
      </c>
      <c r="I19" s="413"/>
      <c r="J19" s="117">
        <v>22</v>
      </c>
      <c r="K19" s="6">
        <v>33</v>
      </c>
      <c r="L19" s="109">
        <v>8.5</v>
      </c>
      <c r="M19" s="413"/>
      <c r="N19" s="23">
        <v>33</v>
      </c>
      <c r="O19" s="562">
        <v>27.4</v>
      </c>
      <c r="P19" s="563">
        <f>7.3*LNA_20K_Derate_Factor</f>
        <v>8.2489999999999988</v>
      </c>
      <c r="Q19" s="413"/>
      <c r="R19" s="23">
        <v>48</v>
      </c>
      <c r="S19" s="568">
        <v>35.200000000000003</v>
      </c>
      <c r="T19" s="569">
        <f>14.8*LNA_20K_Derate_Factor</f>
        <v>16.724</v>
      </c>
      <c r="U19" s="413"/>
      <c r="V19" s="23">
        <v>112</v>
      </c>
      <c r="W19" s="568">
        <v>20.5</v>
      </c>
      <c r="X19" s="569">
        <v>25.5</v>
      </c>
      <c r="Y19" s="413"/>
    </row>
    <row r="20" spans="1:25" ht="13.5" customHeight="1">
      <c r="A20" s="413"/>
      <c r="B20" s="117">
        <v>3.8</v>
      </c>
      <c r="C20" s="568">
        <v>34</v>
      </c>
      <c r="D20" s="569">
        <f>1.5*LNA_20K_Derate_Factor</f>
        <v>1.6949999999999998</v>
      </c>
      <c r="E20" s="413"/>
      <c r="F20" s="117">
        <v>12</v>
      </c>
      <c r="G20" s="568">
        <v>38</v>
      </c>
      <c r="H20" s="569">
        <f>3.6*LNA_20K_Derate_Factor</f>
        <v>4.0679999999999996</v>
      </c>
      <c r="I20" s="413"/>
      <c r="J20" s="117">
        <v>23</v>
      </c>
      <c r="K20" s="6">
        <v>32.5</v>
      </c>
      <c r="L20" s="109">
        <v>9</v>
      </c>
      <c r="M20" s="413"/>
      <c r="N20" s="23">
        <v>34</v>
      </c>
      <c r="O20" s="562">
        <v>27.4</v>
      </c>
      <c r="P20" s="563">
        <f>7.8*LNA_20K_Derate_Factor</f>
        <v>8.8139999999999983</v>
      </c>
      <c r="Q20" s="413"/>
      <c r="R20" s="23">
        <v>50</v>
      </c>
      <c r="S20" s="568">
        <v>35</v>
      </c>
      <c r="T20" s="569">
        <f>14.4*LNA_20K_Derate_Factor</f>
        <v>16.271999999999998</v>
      </c>
      <c r="U20" s="413"/>
      <c r="V20" s="23">
        <v>114</v>
      </c>
      <c r="W20" s="568">
        <v>21.5</v>
      </c>
      <c r="X20" s="569">
        <v>25.5</v>
      </c>
      <c r="Y20" s="413"/>
    </row>
    <row r="21" spans="1:25" ht="13.5" customHeight="1" thickBot="1">
      <c r="A21" s="413"/>
      <c r="B21" s="118">
        <v>4</v>
      </c>
      <c r="C21" s="570">
        <v>33</v>
      </c>
      <c r="D21" s="571">
        <f>1.7*LNA_20K_Derate_Factor</f>
        <v>1.9209999999999998</v>
      </c>
      <c r="E21" s="413"/>
      <c r="F21" s="118">
        <v>13</v>
      </c>
      <c r="G21" s="573">
        <v>38.1</v>
      </c>
      <c r="H21" s="529">
        <f>3.3*LNA_20K_Derate_Factor</f>
        <v>3.7289999999999996</v>
      </c>
      <c r="I21" s="413"/>
      <c r="J21" s="118">
        <v>24</v>
      </c>
      <c r="K21" s="110">
        <v>33</v>
      </c>
      <c r="L21" s="111">
        <v>10</v>
      </c>
      <c r="M21" s="413"/>
      <c r="N21" s="119">
        <v>35</v>
      </c>
      <c r="O21" s="564">
        <v>27.8</v>
      </c>
      <c r="P21" s="565">
        <f>8*LNA_20K_Derate_Factor</f>
        <v>9.0399999999999991</v>
      </c>
      <c r="Q21" s="413"/>
      <c r="R21" s="119">
        <v>52</v>
      </c>
      <c r="S21" s="573">
        <v>34.799999999999997</v>
      </c>
      <c r="T21" s="529">
        <f>13.8*LNA_20K_Derate_Factor</f>
        <v>15.593999999999999</v>
      </c>
      <c r="U21" s="413"/>
      <c r="V21" s="23">
        <v>115</v>
      </c>
      <c r="W21" s="568">
        <v>22</v>
      </c>
      <c r="X21" s="569">
        <v>25</v>
      </c>
      <c r="Y21" s="413"/>
    </row>
    <row r="22" spans="1:25" ht="12.75" customHeight="1" thickBot="1">
      <c r="A22" s="413"/>
      <c r="B22" s="556"/>
      <c r="C22" s="553"/>
      <c r="D22" s="553"/>
      <c r="E22" s="553"/>
      <c r="F22" s="553"/>
      <c r="G22" s="553"/>
      <c r="H22" s="553"/>
      <c r="I22" s="553"/>
      <c r="J22" s="553"/>
      <c r="K22" s="553"/>
      <c r="L22" s="553"/>
      <c r="M22" s="553"/>
      <c r="N22" s="553"/>
      <c r="O22" s="553"/>
      <c r="P22" s="553"/>
      <c r="Q22" s="553"/>
      <c r="R22" s="553"/>
      <c r="S22" s="553"/>
      <c r="T22" s="553"/>
      <c r="U22" s="553"/>
      <c r="V22" s="24">
        <v>116</v>
      </c>
      <c r="W22" s="574">
        <v>20</v>
      </c>
      <c r="X22" s="575">
        <v>25</v>
      </c>
      <c r="Y22" s="413"/>
    </row>
    <row r="23" spans="1:25">
      <c r="A23" s="413"/>
      <c r="B23" s="555" t="s">
        <v>14</v>
      </c>
      <c r="C23" s="553"/>
      <c r="D23" s="553"/>
      <c r="E23" s="553"/>
      <c r="F23" s="553"/>
      <c r="G23" s="553"/>
      <c r="H23" s="553"/>
      <c r="I23" s="553"/>
      <c r="J23" s="553"/>
      <c r="K23" s="553"/>
      <c r="L23" s="553"/>
      <c r="M23" s="553"/>
      <c r="N23" s="553"/>
      <c r="O23" s="553"/>
      <c r="P23" s="553"/>
      <c r="Q23" s="553"/>
      <c r="R23" s="553"/>
      <c r="S23" s="553"/>
      <c r="T23" s="553"/>
      <c r="U23" s="553"/>
      <c r="V23" s="553"/>
      <c r="W23" s="553"/>
      <c r="X23" s="554"/>
      <c r="Y23" s="413"/>
    </row>
    <row r="24" spans="1:25" ht="13" customHeight="1">
      <c r="A24" s="413"/>
      <c r="B24" s="663" t="s">
        <v>303</v>
      </c>
      <c r="C24" s="664"/>
      <c r="D24" s="664"/>
      <c r="E24" s="664"/>
      <c r="F24" s="664"/>
      <c r="G24" s="664"/>
      <c r="H24" s="664"/>
      <c r="I24" s="664"/>
      <c r="J24" s="664"/>
      <c r="K24" s="664"/>
      <c r="L24" s="664"/>
      <c r="M24" s="664"/>
      <c r="N24" s="664"/>
      <c r="O24" s="664"/>
      <c r="P24" s="664"/>
      <c r="Q24" s="664"/>
      <c r="R24" s="664"/>
      <c r="S24" s="664"/>
      <c r="T24" s="664"/>
      <c r="U24" s="664"/>
      <c r="V24" s="664"/>
      <c r="W24" s="664"/>
      <c r="X24" s="665"/>
      <c r="Y24" s="413"/>
    </row>
    <row r="25" spans="1:25" ht="13" customHeight="1">
      <c r="A25" s="413"/>
      <c r="B25" s="663" t="s">
        <v>302</v>
      </c>
      <c r="C25" s="664"/>
      <c r="D25" s="664"/>
      <c r="E25" s="664"/>
      <c r="F25" s="664"/>
      <c r="G25" s="664"/>
      <c r="H25" s="664"/>
      <c r="I25" s="664"/>
      <c r="J25" s="664"/>
      <c r="K25" s="664"/>
      <c r="L25" s="664"/>
      <c r="M25" s="664"/>
      <c r="N25" s="664"/>
      <c r="O25" s="664"/>
      <c r="P25" s="664"/>
      <c r="Q25" s="664"/>
      <c r="R25" s="664"/>
      <c r="S25" s="664"/>
      <c r="T25" s="664"/>
      <c r="U25" s="664"/>
      <c r="V25" s="664"/>
      <c r="W25" s="664"/>
      <c r="X25" s="665"/>
      <c r="Y25" s="413"/>
    </row>
    <row r="26" spans="1:25" ht="26.15" customHeight="1">
      <c r="A26" s="413"/>
      <c r="B26" s="657" t="s">
        <v>48</v>
      </c>
      <c r="C26" s="658"/>
      <c r="D26" s="658"/>
      <c r="E26" s="658"/>
      <c r="F26" s="658"/>
      <c r="G26" s="658"/>
      <c r="H26" s="658"/>
      <c r="I26" s="658"/>
      <c r="J26" s="658"/>
      <c r="K26" s="658"/>
      <c r="L26" s="658"/>
      <c r="M26" s="658"/>
      <c r="N26" s="658"/>
      <c r="O26" s="658"/>
      <c r="P26" s="658"/>
      <c r="Q26" s="658"/>
      <c r="R26" s="658"/>
      <c r="S26" s="658"/>
      <c r="T26" s="658"/>
      <c r="U26" s="658"/>
      <c r="V26" s="658"/>
      <c r="W26" s="658"/>
      <c r="X26" s="659"/>
      <c r="Y26" s="413"/>
    </row>
    <row r="27" spans="1:25" ht="52" customHeight="1">
      <c r="A27" s="413"/>
      <c r="B27" s="657" t="s">
        <v>307</v>
      </c>
      <c r="C27" s="658"/>
      <c r="D27" s="658"/>
      <c r="E27" s="658"/>
      <c r="F27" s="658"/>
      <c r="G27" s="658"/>
      <c r="H27" s="658"/>
      <c r="I27" s="658"/>
      <c r="J27" s="658"/>
      <c r="K27" s="658"/>
      <c r="L27" s="658"/>
      <c r="M27" s="658"/>
      <c r="N27" s="658"/>
      <c r="O27" s="658"/>
      <c r="P27" s="658"/>
      <c r="Q27" s="658"/>
      <c r="R27" s="658"/>
      <c r="S27" s="658"/>
      <c r="T27" s="658"/>
      <c r="U27" s="658"/>
      <c r="V27" s="658"/>
      <c r="W27" s="658"/>
      <c r="X27" s="659"/>
      <c r="Y27" s="413"/>
    </row>
    <row r="28" spans="1:25" ht="26.15" customHeight="1">
      <c r="A28" s="413"/>
      <c r="B28" s="657" t="s">
        <v>309</v>
      </c>
      <c r="C28" s="658"/>
      <c r="D28" s="658"/>
      <c r="E28" s="658"/>
      <c r="F28" s="658"/>
      <c r="G28" s="658"/>
      <c r="H28" s="658"/>
      <c r="I28" s="658"/>
      <c r="J28" s="658"/>
      <c r="K28" s="658"/>
      <c r="L28" s="658"/>
      <c r="M28" s="658"/>
      <c r="N28" s="658"/>
      <c r="O28" s="658"/>
      <c r="P28" s="658"/>
      <c r="Q28" s="658"/>
      <c r="R28" s="658"/>
      <c r="S28" s="658"/>
      <c r="T28" s="658"/>
      <c r="U28" s="658"/>
      <c r="V28" s="658"/>
      <c r="W28" s="658"/>
      <c r="X28" s="659"/>
      <c r="Y28" s="413"/>
    </row>
    <row r="29" spans="1:25" ht="13" customHeight="1">
      <c r="A29" s="413"/>
      <c r="B29" s="663" t="s">
        <v>312</v>
      </c>
      <c r="C29" s="664"/>
      <c r="D29" s="664"/>
      <c r="E29" s="664"/>
      <c r="F29" s="664"/>
      <c r="G29" s="664"/>
      <c r="H29" s="664"/>
      <c r="I29" s="664"/>
      <c r="J29" s="664"/>
      <c r="K29" s="664"/>
      <c r="L29" s="664"/>
      <c r="M29" s="664"/>
      <c r="N29" s="664"/>
      <c r="O29" s="664"/>
      <c r="P29" s="664"/>
      <c r="Q29" s="664"/>
      <c r="R29" s="664"/>
      <c r="S29" s="664"/>
      <c r="T29" s="664"/>
      <c r="U29" s="664"/>
      <c r="V29" s="664"/>
      <c r="W29" s="664"/>
      <c r="X29" s="665"/>
      <c r="Y29" s="413"/>
    </row>
    <row r="30" spans="1:25" ht="13" customHeight="1">
      <c r="A30" s="413"/>
      <c r="B30" s="654" t="s">
        <v>304</v>
      </c>
      <c r="C30" s="655"/>
      <c r="D30" s="655"/>
      <c r="E30" s="655"/>
      <c r="F30" s="655"/>
      <c r="G30" s="655"/>
      <c r="H30" s="655"/>
      <c r="I30" s="655"/>
      <c r="J30" s="655"/>
      <c r="K30" s="655"/>
      <c r="L30" s="655"/>
      <c r="M30" s="655"/>
      <c r="N30" s="655"/>
      <c r="O30" s="655"/>
      <c r="P30" s="655"/>
      <c r="Q30" s="655"/>
      <c r="R30" s="655"/>
      <c r="S30" s="655"/>
      <c r="T30" s="655"/>
      <c r="U30" s="655"/>
      <c r="V30" s="655"/>
      <c r="W30" s="655"/>
      <c r="X30" s="656"/>
      <c r="Y30" s="413"/>
    </row>
    <row r="31" spans="1:25" ht="26.15" customHeight="1" thickBot="1">
      <c r="A31" s="413"/>
      <c r="B31" s="651" t="s">
        <v>137</v>
      </c>
      <c r="C31" s="652"/>
      <c r="D31" s="652"/>
      <c r="E31" s="652"/>
      <c r="F31" s="652"/>
      <c r="G31" s="652"/>
      <c r="H31" s="652"/>
      <c r="I31" s="652"/>
      <c r="J31" s="652"/>
      <c r="K31" s="652"/>
      <c r="L31" s="652"/>
      <c r="M31" s="652"/>
      <c r="N31" s="652"/>
      <c r="O31" s="652"/>
      <c r="P31" s="652"/>
      <c r="Q31" s="652"/>
      <c r="R31" s="652"/>
      <c r="S31" s="652"/>
      <c r="T31" s="652"/>
      <c r="U31" s="652"/>
      <c r="V31" s="652"/>
      <c r="W31" s="652"/>
      <c r="X31" s="653"/>
      <c r="Y31" s="413"/>
    </row>
    <row r="32" spans="1:25">
      <c r="C32" s="253"/>
    </row>
  </sheetData>
  <sheetProtection insertRows="0" deleteRows="0"/>
  <mergeCells count="14">
    <mergeCell ref="B31:X31"/>
    <mergeCell ref="B30:X30"/>
    <mergeCell ref="B28:X28"/>
    <mergeCell ref="V3:X3"/>
    <mergeCell ref="B29:X29"/>
    <mergeCell ref="B25:X25"/>
    <mergeCell ref="J3:L3"/>
    <mergeCell ref="B26:X26"/>
    <mergeCell ref="N3:P3"/>
    <mergeCell ref="B27:X27"/>
    <mergeCell ref="R3:T3"/>
    <mergeCell ref="B3:D3"/>
    <mergeCell ref="F3:H3"/>
    <mergeCell ref="B24:X24"/>
  </mergeCells>
  <pageMargins left="0.75" right="0.75" top="1" bottom="1" header="0.5" footer="0.5"/>
  <pageSetup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69</vt:i4>
      </vt:variant>
    </vt:vector>
  </HeadingPairs>
  <TitlesOfParts>
    <vt:vector size="82" baseType="lpstr">
      <vt:lpstr>Cover</vt:lpstr>
      <vt:lpstr>Revisions</vt:lpstr>
      <vt:lpstr>Summary</vt:lpstr>
      <vt:lpstr>Bands 1-2</vt:lpstr>
      <vt:lpstr>Bands 3-4</vt:lpstr>
      <vt:lpstr>Bands 5-6</vt:lpstr>
      <vt:lpstr>Tatm</vt:lpstr>
      <vt:lpstr>Antenna</vt:lpstr>
      <vt:lpstr>LNAs</vt:lpstr>
      <vt:lpstr>Couplers</vt:lpstr>
      <vt:lpstr>Passives</vt:lpstr>
      <vt:lpstr>WG and OMT</vt:lpstr>
      <vt:lpstr>Constants</vt:lpstr>
      <vt:lpstr>Antenna_Band1</vt:lpstr>
      <vt:lpstr>Antenna_Band2</vt:lpstr>
      <vt:lpstr>Antenna_Band3</vt:lpstr>
      <vt:lpstr>Antenna_Band4</vt:lpstr>
      <vt:lpstr>Antenna_Band5</vt:lpstr>
      <vt:lpstr>Antenna_Band6</vt:lpstr>
      <vt:lpstr>Array_Size</vt:lpstr>
      <vt:lpstr>Averaging</vt:lpstr>
      <vt:lpstr>Band1_Table</vt:lpstr>
      <vt:lpstr>Band2_Table</vt:lpstr>
      <vt:lpstr>Band3_Table</vt:lpstr>
      <vt:lpstr>Band4_Table</vt:lpstr>
      <vt:lpstr>Band5_Table</vt:lpstr>
      <vt:lpstr>Band6_Table</vt:lpstr>
      <vt:lpstr>Cal_Coupler</vt:lpstr>
      <vt:lpstr>Coax_086SS</vt:lpstr>
      <vt:lpstr>Coax_141Cu</vt:lpstr>
      <vt:lpstr>Component_List</vt:lpstr>
      <vt:lpstr>Coupler_Band1</vt:lpstr>
      <vt:lpstr>Coupler_Band2</vt:lpstr>
      <vt:lpstr>Coupler_Band3</vt:lpstr>
      <vt:lpstr>Coupler_Band4</vt:lpstr>
      <vt:lpstr>Coupler_Band5</vt:lpstr>
      <vt:lpstr>Coupler_Band6</vt:lpstr>
      <vt:lpstr>Elev_Angle</vt:lpstr>
      <vt:lpstr>Feed_Horn</vt:lpstr>
      <vt:lpstr>IR_Filter</vt:lpstr>
      <vt:lpstr>IRD</vt:lpstr>
      <vt:lpstr>LNA_Band1</vt:lpstr>
      <vt:lpstr>LNA_Band2</vt:lpstr>
      <vt:lpstr>LNA_Band3</vt:lpstr>
      <vt:lpstr>LNA_Band4</vt:lpstr>
      <vt:lpstr>LNA_Band5</vt:lpstr>
      <vt:lpstr>LNA_Band6</vt:lpstr>
      <vt:lpstr>Noise_Floor_mult</vt:lpstr>
      <vt:lpstr>OMT_Band3</vt:lpstr>
      <vt:lpstr>OMT_Band4</vt:lpstr>
      <vt:lpstr>OMT_Band5</vt:lpstr>
      <vt:lpstr>OMT_Band6</vt:lpstr>
      <vt:lpstr>PWV</vt:lpstr>
      <vt:lpstr>PWV_Band6</vt:lpstr>
      <vt:lpstr>PWV_Values</vt:lpstr>
      <vt:lpstr>Rev_date</vt:lpstr>
      <vt:lpstr>RxAnt_Data_Band1</vt:lpstr>
      <vt:lpstr>RxAnt_Data_Band2</vt:lpstr>
      <vt:lpstr>RxAnt_Data_Band3</vt:lpstr>
      <vt:lpstr>RxAnt_Data_Band4</vt:lpstr>
      <vt:lpstr>RxAnt_Data_Band5</vt:lpstr>
      <vt:lpstr>RxAnt_Data_Band6</vt:lpstr>
      <vt:lpstr>Sigma_ngVLA</vt:lpstr>
      <vt:lpstr>Stage_Temp_Table</vt:lpstr>
      <vt:lpstr>Tatm_Data_Table</vt:lpstr>
      <vt:lpstr>Tbg_Data_Table</vt:lpstr>
      <vt:lpstr>Temp_20K_Stage</vt:lpstr>
      <vt:lpstr>Temp_80K_Stage</vt:lpstr>
      <vt:lpstr>Temp_Ambient</vt:lpstr>
      <vt:lpstr>Temp_Inter_Stage</vt:lpstr>
      <vt:lpstr>Temp_Intermediate</vt:lpstr>
      <vt:lpstr>User_Inputs</vt:lpstr>
      <vt:lpstr>Vacuum_Window</vt:lpstr>
      <vt:lpstr>Weather_Radome</vt:lpstr>
      <vt:lpstr>WG_Band3</vt:lpstr>
      <vt:lpstr>WG_Band4</vt:lpstr>
      <vt:lpstr>WG_Band5</vt:lpstr>
      <vt:lpstr>WG_Band6</vt:lpstr>
      <vt:lpstr>WG_Size_Band3</vt:lpstr>
      <vt:lpstr>WG_Size_Band4</vt:lpstr>
      <vt:lpstr>WG_Size_Band5</vt:lpstr>
      <vt:lpstr>WG_Size_Band6</vt:lpstr>
    </vt:vector>
  </TitlesOfParts>
  <Company>NRAO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ngVLA Front End cascade, ver. 14</dc:title>
  <dc:creator>Wes Grammer</dc:creator>
  <dc:description>Computes Trx and Tsys for ngVLA Bands 1-6, with reference antenna optics</dc:description>
  <cp:lastModifiedBy>Alicia Kuhn</cp:lastModifiedBy>
  <cp:lastPrinted>2021-07-15T23:44:21Z</cp:lastPrinted>
  <dcterms:created xsi:type="dcterms:W3CDTF">2000-06-02T22:06:09Z</dcterms:created>
  <dcterms:modified xsi:type="dcterms:W3CDTF">2022-11-01T20:35:36Z</dcterms:modified>
</cp:coreProperties>
</file>